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vitor.vvqm\OneDrive - Polícia Federal\UCI Geral\Projetos\Projetos 2020\DEAIN - Análise Imigração - 12x36 Modelagem\"/>
    </mc:Choice>
  </mc:AlternateContent>
  <xr:revisionPtr revIDLastSave="66" documentId="13_ncr:1_{F3A6CA26-BA8D-456E-B0F4-65A040E68561}" xr6:coauthVersionLast="44" xr6:coauthVersionMax="45" xr10:uidLastSave="{DCBD4881-818B-492B-817D-D293FFEFB97A}"/>
  <bookViews>
    <workbookView xWindow="-120" yWindow="-120" windowWidth="29040" windowHeight="15840" tabRatio="859" xr2:uid="{00000000-000D-0000-FFFF-FFFF00000000}"/>
  </bookViews>
  <sheets>
    <sheet name="Custo Final" sheetId="14" r:id="rId1"/>
    <sheet name="Custos Empregados" sheetId="6" r:id="rId2"/>
    <sheet name="Salários e Benefícios" sheetId="4" r:id="rId3"/>
    <sheet name="Memória de Cálculo - Encargos" sheetId="9" r:id="rId4"/>
    <sheet name="Memória de Cálculo - EPIs" sheetId="13" r:id="rId5"/>
    <sheet name="Memória Calc-Uniform. + Relógio" sheetId="7" r:id="rId6"/>
  </sheets>
  <definedNames>
    <definedName name="A" localSheetId="0">#REF!</definedName>
    <definedName name="A">#REF!</definedName>
    <definedName name="aaaa">#REF!</definedName>
    <definedName name="AAAsDAFDSAGFDSHG">#REF!</definedName>
    <definedName name="ALMOXARIFE">#REF!</definedName>
    <definedName name="_xlnm.Print_Area" localSheetId="5">'Memória Calc-Uniform. + Relógio'!$B$1:$G$16</definedName>
    <definedName name="_xlnm.Print_Area" localSheetId="3">'Memória de Cálculo - Encargos'!$B$2:$I$30</definedName>
    <definedName name="_xlnm.Print_Area" localSheetId="4">'Memória de Cálculo - EPIs'!$B$1:$D$21</definedName>
    <definedName name="B">#REF!</definedName>
    <definedName name="cbgnfgjg">#REF!</definedName>
    <definedName name="CDGFNFVBH">#REF!</definedName>
    <definedName name="E">#REF!</definedName>
    <definedName name="FTHRTGJHG">#REF!</definedName>
    <definedName name="gkghkj">#REF!</definedName>
    <definedName name="RTUJH">#REF!</definedName>
    <definedName name="SDFGDFGF">#REF!</definedName>
    <definedName name="SDFGSDGASDF">#REF!</definedName>
    <definedName name="sdfsdfsdf">#REF!</definedName>
    <definedName name="segdfhg">#REF!</definedName>
    <definedName name="SHGFSDHFFDG">#REF!</definedName>
    <definedName name="zdfsdf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60" i="6" l="1"/>
  <c r="AA60" i="6" s="1"/>
  <c r="Y60" i="6"/>
  <c r="V60" i="6"/>
  <c r="V59" i="6" s="1"/>
  <c r="T60" i="6"/>
  <c r="U60" i="6" s="1"/>
  <c r="R60" i="6"/>
  <c r="S60" i="6" s="1"/>
  <c r="P60" i="6"/>
  <c r="Q60" i="6" s="1"/>
  <c r="N60" i="6"/>
  <c r="N59" i="6" s="1"/>
  <c r="L60" i="6"/>
  <c r="M60" i="6" s="1"/>
  <c r="J60" i="6"/>
  <c r="K60" i="6" s="1"/>
  <c r="Z59" i="6"/>
  <c r="T59" i="6"/>
  <c r="U59" i="6" s="1"/>
  <c r="R59" i="6"/>
  <c r="P59" i="6"/>
  <c r="L59" i="6"/>
  <c r="M59" i="6" s="1"/>
  <c r="J59" i="6"/>
  <c r="Z58" i="6"/>
  <c r="AA58" i="6" s="1"/>
  <c r="R58" i="6"/>
  <c r="S58" i="6" s="1"/>
  <c r="J58" i="6"/>
  <c r="Z57" i="6"/>
  <c r="AA57" i="6" s="1"/>
  <c r="V57" i="6"/>
  <c r="V58" i="6" s="1"/>
  <c r="W58" i="6" s="1"/>
  <c r="T57" i="6"/>
  <c r="T58" i="6" s="1"/>
  <c r="U58" i="6" s="1"/>
  <c r="R57" i="6"/>
  <c r="S57" i="6" s="1"/>
  <c r="P57" i="6"/>
  <c r="P58" i="6" s="1"/>
  <c r="N57" i="6"/>
  <c r="N58" i="6" s="1"/>
  <c r="O58" i="6" s="1"/>
  <c r="L57" i="6"/>
  <c r="J57" i="6"/>
  <c r="K57" i="6" s="1"/>
  <c r="Y56" i="6"/>
  <c r="D29" i="9"/>
  <c r="H57" i="6"/>
  <c r="G25" i="6"/>
  <c r="O59" i="6" l="1"/>
  <c r="Y58" i="6"/>
  <c r="Y55" i="6"/>
  <c r="W59" i="6"/>
  <c r="Q58" i="6"/>
  <c r="U57" i="6"/>
  <c r="O60" i="6"/>
  <c r="O57" i="6"/>
  <c r="W57" i="6"/>
  <c r="K59" i="6"/>
  <c r="S59" i="6"/>
  <c r="AA59" i="6"/>
  <c r="K58" i="6"/>
  <c r="Q59" i="6"/>
  <c r="W60" i="6"/>
  <c r="M57" i="6"/>
  <c r="Y59" i="6"/>
  <c r="L58" i="6"/>
  <c r="M58" i="6" s="1"/>
  <c r="Q57" i="6"/>
  <c r="Y57" i="6"/>
  <c r="D28" i="9"/>
  <c r="D27" i="9"/>
  <c r="D25" i="9"/>
  <c r="D24" i="9"/>
  <c r="G59" i="6"/>
  <c r="G55" i="6"/>
  <c r="Y61" i="6" l="1"/>
  <c r="X61" i="6"/>
  <c r="G22" i="7"/>
  <c r="G23" i="7" s="1"/>
  <c r="D51" i="9" l="1"/>
  <c r="G61" i="6"/>
  <c r="G60" i="6"/>
  <c r="G58" i="6"/>
  <c r="G57" i="6"/>
  <c r="G56" i="6"/>
  <c r="G76" i="6" l="1"/>
  <c r="Z76" i="6" s="1"/>
  <c r="G75" i="6"/>
  <c r="J75" i="6" s="1"/>
  <c r="G74" i="6"/>
  <c r="L74" i="6" s="1"/>
  <c r="G73" i="6"/>
  <c r="N73" i="6" s="1"/>
  <c r="G72" i="6"/>
  <c r="N72" i="6" s="1"/>
  <c r="G71" i="6"/>
  <c r="P71" i="6" s="1"/>
  <c r="G70" i="6"/>
  <c r="R70" i="6" s="1"/>
  <c r="G69" i="6"/>
  <c r="X69" i="6" s="1"/>
  <c r="G68" i="6"/>
  <c r="R68" i="6" s="1"/>
  <c r="G67" i="6"/>
  <c r="T67" i="6" s="1"/>
  <c r="G66" i="6"/>
  <c r="G65" i="6"/>
  <c r="V65" i="6" s="1"/>
  <c r="T66" i="6" l="1"/>
  <c r="G77" i="6"/>
  <c r="L65" i="6"/>
  <c r="V69" i="6"/>
  <c r="J70" i="6"/>
  <c r="P73" i="6"/>
  <c r="R73" i="6"/>
  <c r="T70" i="6"/>
  <c r="L75" i="6"/>
  <c r="J65" i="6"/>
  <c r="Z65" i="6"/>
  <c r="V70" i="6"/>
  <c r="J76" i="6"/>
  <c r="R71" i="6"/>
  <c r="L76" i="6"/>
  <c r="T68" i="6"/>
  <c r="T71" i="6"/>
  <c r="X70" i="6"/>
  <c r="N65" i="6"/>
  <c r="V67" i="6"/>
  <c r="H71" i="6"/>
  <c r="V68" i="6"/>
  <c r="P72" i="6"/>
  <c r="X71" i="6"/>
  <c r="H76" i="6"/>
  <c r="T69" i="6"/>
  <c r="R72" i="6"/>
  <c r="J66" i="6"/>
  <c r="J67" i="6"/>
  <c r="Z68" i="6"/>
  <c r="Z69" i="6"/>
  <c r="Z70" i="6"/>
  <c r="V71" i="6"/>
  <c r="T72" i="6"/>
  <c r="T73" i="6"/>
  <c r="R74" i="6"/>
  <c r="P75" i="6"/>
  <c r="N76" i="6"/>
  <c r="X72" i="6"/>
  <c r="J69" i="6"/>
  <c r="Z71" i="6"/>
  <c r="V72" i="6"/>
  <c r="V73" i="6"/>
  <c r="T74" i="6"/>
  <c r="R75" i="6"/>
  <c r="P76" i="6"/>
  <c r="X73" i="6"/>
  <c r="Z67" i="6"/>
  <c r="P74" i="6"/>
  <c r="H72" i="6"/>
  <c r="P65" i="6"/>
  <c r="N66" i="6"/>
  <c r="N67" i="6"/>
  <c r="L68" i="6"/>
  <c r="L69" i="6"/>
  <c r="L70" i="6"/>
  <c r="J71" i="6"/>
  <c r="Z72" i="6"/>
  <c r="Z73" i="6"/>
  <c r="V74" i="6"/>
  <c r="T75" i="6"/>
  <c r="R76" i="6"/>
  <c r="X66" i="6"/>
  <c r="X74" i="6"/>
  <c r="V66" i="6"/>
  <c r="N74" i="6"/>
  <c r="N75" i="6"/>
  <c r="L66" i="6"/>
  <c r="H73" i="6"/>
  <c r="R65" i="6"/>
  <c r="P66" i="6"/>
  <c r="P67" i="6"/>
  <c r="N68" i="6"/>
  <c r="N69" i="6"/>
  <c r="N70" i="6"/>
  <c r="L71" i="6"/>
  <c r="J72" i="6"/>
  <c r="J73" i="6"/>
  <c r="Z74" i="6"/>
  <c r="V75" i="6"/>
  <c r="T76" i="6"/>
  <c r="X67" i="6"/>
  <c r="X75" i="6"/>
  <c r="J68" i="6"/>
  <c r="H74" i="6"/>
  <c r="T65" i="6"/>
  <c r="R66" i="6"/>
  <c r="R67" i="6"/>
  <c r="P68" i="6"/>
  <c r="P69" i="6"/>
  <c r="P70" i="6"/>
  <c r="N71" i="6"/>
  <c r="L72" i="6"/>
  <c r="L73" i="6"/>
  <c r="J74" i="6"/>
  <c r="Z75" i="6"/>
  <c r="V76" i="6"/>
  <c r="X68" i="6"/>
  <c r="X76" i="6"/>
  <c r="Z66" i="6"/>
  <c r="L67" i="6"/>
  <c r="H75" i="6"/>
  <c r="R69" i="6"/>
  <c r="E18" i="13"/>
  <c r="V77" i="6" l="1"/>
  <c r="N77" i="6"/>
  <c r="X77" i="6"/>
  <c r="T77" i="6"/>
  <c r="R77" i="6"/>
  <c r="Z77" i="6"/>
  <c r="L77" i="6"/>
  <c r="J77" i="6"/>
  <c r="P77" i="6"/>
  <c r="G37" i="6"/>
  <c r="G36" i="6"/>
  <c r="G35" i="6"/>
  <c r="G34" i="6"/>
  <c r="G33" i="6"/>
  <c r="G32" i="6"/>
  <c r="G31" i="6"/>
  <c r="G30" i="6"/>
  <c r="D18" i="9"/>
  <c r="G26" i="6" s="1"/>
  <c r="D17" i="9"/>
  <c r="N31" i="6" l="1"/>
  <c r="R31" i="6"/>
  <c r="Z31" i="6"/>
  <c r="P31" i="6"/>
  <c r="X31" i="6"/>
  <c r="J31" i="6"/>
  <c r="T31" i="6"/>
  <c r="V31" i="6"/>
  <c r="L31" i="6"/>
  <c r="L34" i="6"/>
  <c r="R34" i="6"/>
  <c r="J34" i="6"/>
  <c r="T34" i="6"/>
  <c r="V34" i="6"/>
  <c r="N34" i="6"/>
  <c r="X34" i="6"/>
  <c r="Z34" i="6"/>
  <c r="P34" i="6"/>
  <c r="J35" i="6"/>
  <c r="N35" i="6"/>
  <c r="T35" i="6"/>
  <c r="L35" i="6"/>
  <c r="V35" i="6"/>
  <c r="Z35" i="6"/>
  <c r="R35" i="6"/>
  <c r="P35" i="6"/>
  <c r="X35" i="6"/>
  <c r="N32" i="6"/>
  <c r="Z32" i="6"/>
  <c r="P32" i="6"/>
  <c r="X32" i="6"/>
  <c r="R32" i="6"/>
  <c r="J32" i="6"/>
  <c r="T32" i="6"/>
  <c r="L32" i="6"/>
  <c r="V32" i="6"/>
  <c r="P33" i="6"/>
  <c r="X33" i="6"/>
  <c r="J33" i="6"/>
  <c r="R33" i="6"/>
  <c r="L33" i="6"/>
  <c r="V33" i="6"/>
  <c r="Z33" i="6"/>
  <c r="N33" i="6"/>
  <c r="T33" i="6"/>
  <c r="J36" i="6"/>
  <c r="T36" i="6"/>
  <c r="L36" i="6"/>
  <c r="V36" i="6"/>
  <c r="Z36" i="6"/>
  <c r="P36" i="6"/>
  <c r="X36" i="6"/>
  <c r="N36" i="6"/>
  <c r="R36" i="6"/>
  <c r="T37" i="6"/>
  <c r="X37" i="6"/>
  <c r="L37" i="6"/>
  <c r="V37" i="6"/>
  <c r="N37" i="6"/>
  <c r="Z37" i="6"/>
  <c r="J37" i="6"/>
  <c r="P37" i="6"/>
  <c r="R37" i="6"/>
  <c r="J30" i="6"/>
  <c r="P30" i="6"/>
  <c r="L30" i="6"/>
  <c r="V30" i="6"/>
  <c r="Z30" i="6"/>
  <c r="N30" i="6"/>
  <c r="X30" i="6"/>
  <c r="R30" i="6"/>
  <c r="T30" i="6"/>
  <c r="E8" i="4"/>
  <c r="V6" i="6" s="1"/>
  <c r="E7" i="4"/>
  <c r="T6" i="6" s="1"/>
  <c r="X6" i="6"/>
  <c r="R6" i="6"/>
  <c r="P6" i="6"/>
  <c r="N6" i="6"/>
  <c r="L6" i="6"/>
  <c r="J6" i="6"/>
  <c r="H6" i="6"/>
  <c r="R38" i="6" l="1"/>
  <c r="J38" i="6"/>
  <c r="Z38" i="6"/>
  <c r="X38" i="6"/>
  <c r="L38" i="6"/>
  <c r="T38" i="6"/>
  <c r="V38" i="6"/>
  <c r="P38" i="6"/>
  <c r="N38" i="6"/>
  <c r="G42" i="6"/>
  <c r="Y42" i="6" l="1"/>
  <c r="AA42" i="6"/>
  <c r="W42" i="6"/>
  <c r="U42" i="6"/>
  <c r="S42" i="6"/>
  <c r="Q42" i="6"/>
  <c r="O42" i="6"/>
  <c r="M42" i="6"/>
  <c r="K42" i="6"/>
  <c r="I42" i="6"/>
  <c r="H4" i="4"/>
  <c r="G93" i="6" s="1"/>
  <c r="AA93" i="6" s="1"/>
  <c r="D18" i="13"/>
  <c r="D17" i="13"/>
  <c r="L12" i="14"/>
  <c r="L11" i="14"/>
  <c r="G24" i="7" s="1"/>
  <c r="G25" i="7" s="1"/>
  <c r="L10" i="14"/>
  <c r="L9" i="14"/>
  <c r="G25" i="13" s="1"/>
  <c r="G28" i="13" s="1"/>
  <c r="L8" i="14"/>
  <c r="L7" i="14"/>
  <c r="L6" i="14"/>
  <c r="L5" i="14"/>
  <c r="L4" i="14"/>
  <c r="L3" i="14"/>
  <c r="I17" i="13" l="1"/>
  <c r="G26" i="13"/>
  <c r="G27" i="13"/>
  <c r="L13" i="14"/>
  <c r="G17" i="13" s="1"/>
  <c r="K13" i="14"/>
  <c r="E28" i="13"/>
  <c r="C28" i="13"/>
  <c r="D28" i="13" s="1"/>
  <c r="I28" i="13" s="1"/>
  <c r="B28" i="13"/>
  <c r="E27" i="13"/>
  <c r="C27" i="13"/>
  <c r="D27" i="13" s="1"/>
  <c r="B27" i="13"/>
  <c r="E26" i="13"/>
  <c r="D26" i="13"/>
  <c r="I26" i="13" s="1"/>
  <c r="B26" i="13"/>
  <c r="E25" i="13"/>
  <c r="D25" i="13"/>
  <c r="I25" i="13" s="1"/>
  <c r="B25" i="13"/>
  <c r="E20" i="13"/>
  <c r="C20" i="13"/>
  <c r="B20" i="13"/>
  <c r="E19" i="13"/>
  <c r="C19" i="13"/>
  <c r="D19" i="13" s="1"/>
  <c r="B19" i="13"/>
  <c r="F18" i="13"/>
  <c r="B18" i="13"/>
  <c r="E17" i="13"/>
  <c r="F17" i="13" s="1"/>
  <c r="B17" i="13"/>
  <c r="D10" i="13" l="1"/>
  <c r="H17" i="13"/>
  <c r="I27" i="13"/>
  <c r="G20" i="13"/>
  <c r="G18" i="13"/>
  <c r="G19" i="13"/>
  <c r="I19" i="13" s="1"/>
  <c r="D12" i="13" s="1"/>
  <c r="F19" i="13"/>
  <c r="F28" i="13"/>
  <c r="H28" i="13" s="1"/>
  <c r="F27" i="13"/>
  <c r="H27" i="13" s="1"/>
  <c r="D20" i="13"/>
  <c r="F26" i="13"/>
  <c r="H26" i="13" s="1"/>
  <c r="F25" i="13"/>
  <c r="Y15" i="6"/>
  <c r="AA15" i="6"/>
  <c r="W15" i="6"/>
  <c r="W17" i="6" s="1"/>
  <c r="U15" i="6"/>
  <c r="U17" i="6" s="1"/>
  <c r="S15" i="6"/>
  <c r="Q15" i="6"/>
  <c r="O15" i="6"/>
  <c r="M15" i="6"/>
  <c r="H18" i="13" l="1"/>
  <c r="I18" i="13"/>
  <c r="D11" i="13" s="1"/>
  <c r="F20" i="13"/>
  <c r="F21" i="13" s="1"/>
  <c r="G91" i="6" s="1"/>
  <c r="I20" i="13"/>
  <c r="D13" i="13" s="1"/>
  <c r="H19" i="13"/>
  <c r="U16" i="6"/>
  <c r="W16" i="6"/>
  <c r="H20" i="13"/>
  <c r="F29" i="13"/>
  <c r="W91" i="6" s="1"/>
  <c r="H25" i="13"/>
  <c r="H29" i="13" s="1"/>
  <c r="S19" i="6"/>
  <c r="O19" i="6"/>
  <c r="G41" i="6"/>
  <c r="H21" i="13" l="1"/>
  <c r="U91" i="6"/>
  <c r="H11" i="13"/>
  <c r="Y93" i="6"/>
  <c r="Y91" i="6"/>
  <c r="X82" i="6"/>
  <c r="Y43" i="6"/>
  <c r="Y41" i="6"/>
  <c r="Y21" i="6"/>
  <c r="Y107" i="6" l="1"/>
  <c r="Y81" i="6"/>
  <c r="Y82" i="6" s="1"/>
  <c r="Y86" i="6" s="1"/>
  <c r="AA91" i="6"/>
  <c r="Z82" i="6"/>
  <c r="AA43" i="6"/>
  <c r="AA41" i="6"/>
  <c r="AA21" i="6"/>
  <c r="O21" i="6"/>
  <c r="O93" i="6"/>
  <c r="O91" i="6"/>
  <c r="N82" i="6"/>
  <c r="O43" i="6"/>
  <c r="O41" i="6"/>
  <c r="M93" i="6"/>
  <c r="M91" i="6"/>
  <c r="L82" i="6"/>
  <c r="M43" i="6"/>
  <c r="M41" i="6"/>
  <c r="M21" i="6"/>
  <c r="S21" i="6"/>
  <c r="Q93" i="6"/>
  <c r="Q91" i="6"/>
  <c r="P82" i="6"/>
  <c r="Q43" i="6"/>
  <c r="Q41" i="6"/>
  <c r="Q21" i="6"/>
  <c r="S93" i="6"/>
  <c r="S91" i="6"/>
  <c r="R82" i="6"/>
  <c r="S43" i="6"/>
  <c r="S41" i="6"/>
  <c r="O107" i="6" l="1"/>
  <c r="AA107" i="6"/>
  <c r="S81" i="6"/>
  <c r="S82" i="6" s="1"/>
  <c r="S86" i="6" s="1"/>
  <c r="S107" i="6"/>
  <c r="Q81" i="6"/>
  <c r="Q82" i="6" s="1"/>
  <c r="Q86" i="6" s="1"/>
  <c r="Q107" i="6"/>
  <c r="M81" i="6"/>
  <c r="M82" i="6" s="1"/>
  <c r="M86" i="6" s="1"/>
  <c r="M107" i="6"/>
  <c r="AA81" i="6"/>
  <c r="AA82" i="6" s="1"/>
  <c r="AA86" i="6" s="1"/>
  <c r="O81" i="6"/>
  <c r="O82" i="6" s="1"/>
  <c r="O86" i="6" s="1"/>
  <c r="W93" i="6"/>
  <c r="V82" i="6"/>
  <c r="W43" i="6"/>
  <c r="W41" i="6"/>
  <c r="W21" i="6"/>
  <c r="U41" i="6"/>
  <c r="U93" i="6"/>
  <c r="T82" i="6"/>
  <c r="U43" i="6"/>
  <c r="U21" i="6"/>
  <c r="J82" i="6"/>
  <c r="K91" i="6"/>
  <c r="K43" i="6"/>
  <c r="K15" i="6"/>
  <c r="K19" i="6" s="1"/>
  <c r="W107" i="6" l="1"/>
  <c r="U107" i="6"/>
  <c r="K41" i="6"/>
  <c r="K21" i="6"/>
  <c r="W81" i="6"/>
  <c r="W82" i="6" s="1"/>
  <c r="W86" i="6" s="1"/>
  <c r="U81" i="6"/>
  <c r="U82" i="6" s="1"/>
  <c r="U86" i="6" s="1"/>
  <c r="G98" i="6"/>
  <c r="J98" i="6" s="1"/>
  <c r="G97" i="6"/>
  <c r="G102" i="6"/>
  <c r="G101" i="6"/>
  <c r="G100" i="6"/>
  <c r="D13" i="9"/>
  <c r="K93" i="6"/>
  <c r="G14" i="7"/>
  <c r="G13" i="7"/>
  <c r="G12" i="7"/>
  <c r="G11" i="7"/>
  <c r="G10" i="7"/>
  <c r="G9" i="7"/>
  <c r="G8" i="7"/>
  <c r="G7" i="7"/>
  <c r="G6" i="7"/>
  <c r="G5" i="7"/>
  <c r="G38" i="6"/>
  <c r="I43" i="6"/>
  <c r="G44" i="6"/>
  <c r="H35" i="6"/>
  <c r="K107" i="6" l="1"/>
  <c r="N100" i="6"/>
  <c r="R100" i="6"/>
  <c r="P100" i="6"/>
  <c r="T100" i="6"/>
  <c r="V100" i="6"/>
  <c r="G99" i="6"/>
  <c r="G103" i="6" s="1"/>
  <c r="Z100" i="6"/>
  <c r="X100" i="6"/>
  <c r="J100" i="6"/>
  <c r="L100" i="6"/>
  <c r="R101" i="6"/>
  <c r="P101" i="6"/>
  <c r="T101" i="6"/>
  <c r="V101" i="6"/>
  <c r="Z101" i="6"/>
  <c r="X101" i="6"/>
  <c r="J101" i="6"/>
  <c r="L101" i="6"/>
  <c r="N101" i="6"/>
  <c r="T102" i="6"/>
  <c r="V102" i="6"/>
  <c r="Z102" i="6"/>
  <c r="X102" i="6"/>
  <c r="L102" i="6"/>
  <c r="N102" i="6"/>
  <c r="R102" i="6"/>
  <c r="P102" i="6"/>
  <c r="J102" i="6"/>
  <c r="J97" i="6"/>
  <c r="G15" i="7"/>
  <c r="G92" i="6"/>
  <c r="X25" i="6"/>
  <c r="Y25" i="6" s="1"/>
  <c r="P25" i="6"/>
  <c r="Q25" i="6" s="1"/>
  <c r="R25" i="6"/>
  <c r="S25" i="6" s="1"/>
  <c r="L25" i="6"/>
  <c r="M25" i="6" s="1"/>
  <c r="N25" i="6"/>
  <c r="O25" i="6" s="1"/>
  <c r="Z25" i="6"/>
  <c r="AA25" i="6" s="1"/>
  <c r="V25" i="6"/>
  <c r="W25" i="6" s="1"/>
  <c r="T25" i="6"/>
  <c r="U25" i="6" s="1"/>
  <c r="J25" i="6"/>
  <c r="K25" i="6" s="1"/>
  <c r="X98" i="6"/>
  <c r="Y44" i="6"/>
  <c r="Y45" i="6" s="1"/>
  <c r="Y50" i="6" s="1"/>
  <c r="X97" i="6"/>
  <c r="O44" i="6"/>
  <c r="O45" i="6" s="1"/>
  <c r="O50" i="6" s="1"/>
  <c r="N56" i="6" s="1"/>
  <c r="AA44" i="6"/>
  <c r="AA45" i="6" s="1"/>
  <c r="AA50" i="6" s="1"/>
  <c r="Z56" i="6" s="1"/>
  <c r="N97" i="6"/>
  <c r="Z97" i="6"/>
  <c r="N98" i="6"/>
  <c r="Z98" i="6"/>
  <c r="P98" i="6"/>
  <c r="L98" i="6"/>
  <c r="Q44" i="6"/>
  <c r="Q45" i="6" s="1"/>
  <c r="Q50" i="6" s="1"/>
  <c r="P56" i="6" s="1"/>
  <c r="M44" i="6"/>
  <c r="M45" i="6" s="1"/>
  <c r="M50" i="6" s="1"/>
  <c r="L56" i="6" s="1"/>
  <c r="P97" i="6"/>
  <c r="L97" i="6"/>
  <c r="V97" i="6"/>
  <c r="R97" i="6"/>
  <c r="W44" i="6"/>
  <c r="W45" i="6" s="1"/>
  <c r="W50" i="6" s="1"/>
  <c r="V56" i="6" s="1"/>
  <c r="S44" i="6"/>
  <c r="S45" i="6" s="1"/>
  <c r="S50" i="6" s="1"/>
  <c r="R56" i="6" s="1"/>
  <c r="V98" i="6"/>
  <c r="R98" i="6"/>
  <c r="K44" i="6"/>
  <c r="K45" i="6" s="1"/>
  <c r="K50" i="6" s="1"/>
  <c r="J56" i="6" s="1"/>
  <c r="U44" i="6"/>
  <c r="U45" i="6" s="1"/>
  <c r="U50" i="6" s="1"/>
  <c r="T56" i="6" s="1"/>
  <c r="T98" i="6"/>
  <c r="T97" i="6"/>
  <c r="K81" i="6"/>
  <c r="K82" i="6" s="1"/>
  <c r="K86" i="6" s="1"/>
  <c r="AA56" i="6" l="1"/>
  <c r="Z55" i="6"/>
  <c r="U56" i="6"/>
  <c r="T55" i="6"/>
  <c r="O56" i="6"/>
  <c r="N55" i="6"/>
  <c r="V55" i="6"/>
  <c r="W56" i="6"/>
  <c r="K56" i="6"/>
  <c r="J55" i="6"/>
  <c r="S56" i="6"/>
  <c r="R55" i="6"/>
  <c r="M56" i="6"/>
  <c r="L55" i="6"/>
  <c r="Q56" i="6"/>
  <c r="P55" i="6"/>
  <c r="G16" i="7"/>
  <c r="G90" i="6" s="1"/>
  <c r="L99" i="6"/>
  <c r="L103" i="6" s="1"/>
  <c r="N99" i="6"/>
  <c r="N103" i="6" s="1"/>
  <c r="H99" i="6"/>
  <c r="R99" i="6"/>
  <c r="R103" i="6" s="1"/>
  <c r="P99" i="6"/>
  <c r="P103" i="6" s="1"/>
  <c r="T99" i="6"/>
  <c r="T103" i="6" s="1"/>
  <c r="V99" i="6"/>
  <c r="V103" i="6" s="1"/>
  <c r="Z99" i="6"/>
  <c r="Z103" i="6" s="1"/>
  <c r="X99" i="6"/>
  <c r="X103" i="6" s="1"/>
  <c r="J99" i="6"/>
  <c r="J103" i="6" s="1"/>
  <c r="Y92" i="6"/>
  <c r="AA92" i="6"/>
  <c r="O92" i="6"/>
  <c r="M92" i="6"/>
  <c r="Q92" i="6"/>
  <c r="S92" i="6"/>
  <c r="W92" i="6"/>
  <c r="U92" i="6"/>
  <c r="K92" i="6"/>
  <c r="D19" i="9"/>
  <c r="Q55" i="6" l="1"/>
  <c r="Q61" i="6" s="1"/>
  <c r="P61" i="6"/>
  <c r="M55" i="6"/>
  <c r="M61" i="6" s="1"/>
  <c r="L61" i="6"/>
  <c r="W55" i="6"/>
  <c r="W61" i="6" s="1"/>
  <c r="V61" i="6"/>
  <c r="O55" i="6"/>
  <c r="O61" i="6" s="1"/>
  <c r="N61" i="6"/>
  <c r="U55" i="6"/>
  <c r="U61" i="6" s="1"/>
  <c r="T61" i="6"/>
  <c r="S55" i="6"/>
  <c r="S61" i="6" s="1"/>
  <c r="R61" i="6"/>
  <c r="AA55" i="6"/>
  <c r="AA61" i="6" s="1"/>
  <c r="Z61" i="6"/>
  <c r="K55" i="6"/>
  <c r="K61" i="6" s="1"/>
  <c r="J61" i="6"/>
  <c r="AA90" i="6"/>
  <c r="AA94" i="6" s="1"/>
  <c r="AA111" i="6" s="1"/>
  <c r="O90" i="6"/>
  <c r="O94" i="6" s="1"/>
  <c r="O111" i="6" s="1"/>
  <c r="Q90" i="6"/>
  <c r="Q94" i="6" s="1"/>
  <c r="Q111" i="6" s="1"/>
  <c r="K90" i="6"/>
  <c r="K94" i="6" s="1"/>
  <c r="K111" i="6" s="1"/>
  <c r="M90" i="6"/>
  <c r="M94" i="6" s="1"/>
  <c r="M111" i="6" s="1"/>
  <c r="S90" i="6"/>
  <c r="S94" i="6" s="1"/>
  <c r="S111" i="6" s="1"/>
  <c r="W90" i="6"/>
  <c r="W94" i="6" s="1"/>
  <c r="W111" i="6" s="1"/>
  <c r="U90" i="6"/>
  <c r="U94" i="6" s="1"/>
  <c r="U111" i="6" s="1"/>
  <c r="Y90" i="6"/>
  <c r="Y94" i="6" s="1"/>
  <c r="Y111" i="6" s="1"/>
  <c r="X26" i="6"/>
  <c r="N26" i="6"/>
  <c r="L26" i="6"/>
  <c r="P26" i="6"/>
  <c r="R26" i="6"/>
  <c r="Z26" i="6"/>
  <c r="T26" i="6"/>
  <c r="V26" i="6"/>
  <c r="J26" i="6"/>
  <c r="H102" i="6"/>
  <c r="H101" i="6"/>
  <c r="H100" i="6"/>
  <c r="H98" i="6"/>
  <c r="H97" i="6"/>
  <c r="I93" i="6"/>
  <c r="I92" i="6"/>
  <c r="I91" i="6"/>
  <c r="I90" i="6"/>
  <c r="G94" i="6"/>
  <c r="H70" i="6"/>
  <c r="H69" i="6"/>
  <c r="H68" i="6"/>
  <c r="H67" i="6"/>
  <c r="H65" i="6"/>
  <c r="H66" i="6"/>
  <c r="I44" i="6"/>
  <c r="H32" i="6"/>
  <c r="H37" i="6"/>
  <c r="H31" i="6"/>
  <c r="H36" i="6"/>
  <c r="H34" i="6"/>
  <c r="H33" i="6"/>
  <c r="H30" i="6"/>
  <c r="H26" i="6"/>
  <c r="H25" i="6"/>
  <c r="I15" i="6"/>
  <c r="I41" i="6" s="1"/>
  <c r="B86" i="6"/>
  <c r="B85" i="6"/>
  <c r="H82" i="6"/>
  <c r="B50" i="6"/>
  <c r="B49" i="6"/>
  <c r="B48" i="6"/>
  <c r="H77" i="6" l="1"/>
  <c r="H103" i="6"/>
  <c r="Z27" i="6"/>
  <c r="AA26" i="6"/>
  <c r="AA27" i="6" s="1"/>
  <c r="S26" i="6"/>
  <c r="S27" i="6" s="1"/>
  <c r="R27" i="6"/>
  <c r="V27" i="6"/>
  <c r="W26" i="6"/>
  <c r="W27" i="6" s="1"/>
  <c r="Q26" i="6"/>
  <c r="Q27" i="6" s="1"/>
  <c r="P27" i="6"/>
  <c r="T27" i="6"/>
  <c r="U26" i="6"/>
  <c r="U27" i="6" s="1"/>
  <c r="L27" i="6"/>
  <c r="M26" i="6"/>
  <c r="M27" i="6" s="1"/>
  <c r="N27" i="6"/>
  <c r="O26" i="6"/>
  <c r="O27" i="6" s="1"/>
  <c r="J27" i="6"/>
  <c r="K26" i="6"/>
  <c r="K27" i="6" s="1"/>
  <c r="X27" i="6"/>
  <c r="Y26" i="6"/>
  <c r="Y27" i="6" s="1"/>
  <c r="I45" i="6"/>
  <c r="I50" i="6" s="1"/>
  <c r="H56" i="6" s="1"/>
  <c r="I94" i="6"/>
  <c r="I111" i="6" s="1"/>
  <c r="I21" i="6"/>
  <c r="H27" i="6"/>
  <c r="H38" i="6"/>
  <c r="Q36" i="6" l="1"/>
  <c r="Q37" i="6"/>
  <c r="Q30" i="6"/>
  <c r="Q35" i="6"/>
  <c r="Q31" i="6"/>
  <c r="Q32" i="6"/>
  <c r="Q34" i="6"/>
  <c r="Q33" i="6"/>
  <c r="W30" i="6"/>
  <c r="W36" i="6"/>
  <c r="W31" i="6"/>
  <c r="W32" i="6"/>
  <c r="W34" i="6"/>
  <c r="W35" i="6"/>
  <c r="W37" i="6"/>
  <c r="W33" i="6"/>
  <c r="O32" i="6"/>
  <c r="O37" i="6"/>
  <c r="O30" i="6"/>
  <c r="O34" i="6"/>
  <c r="O31" i="6"/>
  <c r="O36" i="6"/>
  <c r="O33" i="6"/>
  <c r="O35" i="6"/>
  <c r="M37" i="6"/>
  <c r="M36" i="6"/>
  <c r="M32" i="6"/>
  <c r="M31" i="6"/>
  <c r="M33" i="6"/>
  <c r="M34" i="6"/>
  <c r="M30" i="6"/>
  <c r="M35" i="6"/>
  <c r="K34" i="6"/>
  <c r="K30" i="6"/>
  <c r="K33" i="6"/>
  <c r="K32" i="6"/>
  <c r="K37" i="6"/>
  <c r="K36" i="6"/>
  <c r="K35" i="6"/>
  <c r="K31" i="6"/>
  <c r="S35" i="6"/>
  <c r="S30" i="6"/>
  <c r="S34" i="6"/>
  <c r="S31" i="6"/>
  <c r="S33" i="6"/>
  <c r="S32" i="6"/>
  <c r="S36" i="6"/>
  <c r="S37" i="6"/>
  <c r="Y34" i="6"/>
  <c r="Y30" i="6"/>
  <c r="Y33" i="6"/>
  <c r="Y35" i="6"/>
  <c r="Y37" i="6"/>
  <c r="Y32" i="6"/>
  <c r="Y36" i="6"/>
  <c r="Y31" i="6"/>
  <c r="U33" i="6"/>
  <c r="U31" i="6"/>
  <c r="U32" i="6"/>
  <c r="U35" i="6"/>
  <c r="U34" i="6"/>
  <c r="U30" i="6"/>
  <c r="U37" i="6"/>
  <c r="U36" i="6"/>
  <c r="AA35" i="6"/>
  <c r="AA31" i="6"/>
  <c r="AA37" i="6"/>
  <c r="AA33" i="6"/>
  <c r="AA30" i="6"/>
  <c r="AA34" i="6"/>
  <c r="AA36" i="6"/>
  <c r="AA32" i="6"/>
  <c r="I56" i="6"/>
  <c r="I25" i="6"/>
  <c r="Q48" i="6"/>
  <c r="W48" i="6"/>
  <c r="M48" i="6"/>
  <c r="S48" i="6"/>
  <c r="O48" i="6"/>
  <c r="AA48" i="6"/>
  <c r="K48" i="6"/>
  <c r="U48" i="6"/>
  <c r="Y48" i="6"/>
  <c r="I26" i="6"/>
  <c r="I107" i="6"/>
  <c r="I81" i="6"/>
  <c r="I82" i="6" s="1"/>
  <c r="I86" i="6" s="1"/>
  <c r="U38" i="6" l="1"/>
  <c r="U49" i="6" s="1"/>
  <c r="U51" i="6" s="1"/>
  <c r="W38" i="6"/>
  <c r="M38" i="6"/>
  <c r="M49" i="6" s="1"/>
  <c r="M51" i="6" s="1"/>
  <c r="M65" i="6" s="1"/>
  <c r="Q38" i="6"/>
  <c r="Q49" i="6" s="1"/>
  <c r="Q51" i="6" s="1"/>
  <c r="O38" i="6"/>
  <c r="O49" i="6" s="1"/>
  <c r="O51" i="6" s="1"/>
  <c r="Y38" i="6"/>
  <c r="Y49" i="6" s="1"/>
  <c r="Y51" i="6" s="1"/>
  <c r="S38" i="6"/>
  <c r="S49" i="6" s="1"/>
  <c r="S51" i="6" s="1"/>
  <c r="K38" i="6"/>
  <c r="K49" i="6" s="1"/>
  <c r="K51" i="6" s="1"/>
  <c r="AA38" i="6"/>
  <c r="AA49" i="6" s="1"/>
  <c r="AA51" i="6" s="1"/>
  <c r="I57" i="6"/>
  <c r="W49" i="6"/>
  <c r="W51" i="6" s="1"/>
  <c r="I27" i="6"/>
  <c r="Y109" i="6" l="1"/>
  <c r="AA108" i="6"/>
  <c r="Y108" i="6"/>
  <c r="Y75" i="6"/>
  <c r="Y70" i="6"/>
  <c r="Y72" i="6"/>
  <c r="O108" i="6"/>
  <c r="M108" i="6"/>
  <c r="Q108" i="6"/>
  <c r="U108" i="6"/>
  <c r="K108" i="6"/>
  <c r="W108" i="6"/>
  <c r="S108" i="6"/>
  <c r="I48" i="6"/>
  <c r="I35" i="6"/>
  <c r="I34" i="6"/>
  <c r="I30" i="6"/>
  <c r="I31" i="6"/>
  <c r="I32" i="6"/>
  <c r="I36" i="6"/>
  <c r="I33" i="6"/>
  <c r="I37" i="6"/>
  <c r="Y69" i="6" l="1"/>
  <c r="I38" i="6"/>
  <c r="Y67" i="6"/>
  <c r="Y74" i="6"/>
  <c r="H58" i="6"/>
  <c r="H55" i="6" s="1"/>
  <c r="I55" i="6" s="1"/>
  <c r="H60" i="6"/>
  <c r="Y71" i="6"/>
  <c r="Y65" i="6"/>
  <c r="Y68" i="6"/>
  <c r="Y76" i="6"/>
  <c r="Y66" i="6"/>
  <c r="Y73" i="6"/>
  <c r="I49" i="6"/>
  <c r="I51" i="6" s="1"/>
  <c r="Y77" i="6" l="1"/>
  <c r="Y85" i="6" s="1"/>
  <c r="Y87" i="6" s="1"/>
  <c r="Y110" i="6" s="1"/>
  <c r="Y112" i="6" s="1"/>
  <c r="Y97" i="6" s="1"/>
  <c r="Y98" i="6" s="1"/>
  <c r="Y99" i="6" s="1"/>
  <c r="Y103" i="6" s="1"/>
  <c r="Y113" i="6" s="1"/>
  <c r="Y114" i="6" s="1"/>
  <c r="K109" i="6"/>
  <c r="K75" i="6"/>
  <c r="K67" i="6"/>
  <c r="K66" i="6"/>
  <c r="K65" i="6"/>
  <c r="K74" i="6"/>
  <c r="K70" i="6"/>
  <c r="K69" i="6"/>
  <c r="K71" i="6"/>
  <c r="K68" i="6"/>
  <c r="K76" i="6"/>
  <c r="K72" i="6"/>
  <c r="K73" i="6"/>
  <c r="W109" i="6"/>
  <c r="W65" i="6"/>
  <c r="W68" i="6"/>
  <c r="W66" i="6"/>
  <c r="W69" i="6"/>
  <c r="W76" i="6"/>
  <c r="W71" i="6"/>
  <c r="W75" i="6"/>
  <c r="W73" i="6"/>
  <c r="W74" i="6"/>
  <c r="W72" i="6"/>
  <c r="W70" i="6"/>
  <c r="W67" i="6"/>
  <c r="U109" i="6"/>
  <c r="U69" i="6"/>
  <c r="U67" i="6"/>
  <c r="U68" i="6"/>
  <c r="U73" i="6"/>
  <c r="U76" i="6"/>
  <c r="U71" i="6"/>
  <c r="U65" i="6"/>
  <c r="U72" i="6"/>
  <c r="U75" i="6"/>
  <c r="U70" i="6"/>
  <c r="U74" i="6"/>
  <c r="U66" i="6"/>
  <c r="AA109" i="6"/>
  <c r="AA73" i="6"/>
  <c r="AA74" i="6"/>
  <c r="AA65" i="6"/>
  <c r="AA68" i="6"/>
  <c r="AA69" i="6"/>
  <c r="AA76" i="6"/>
  <c r="AA67" i="6"/>
  <c r="AA70" i="6"/>
  <c r="AA75" i="6"/>
  <c r="AA66" i="6"/>
  <c r="AA71" i="6"/>
  <c r="AA72" i="6"/>
  <c r="Q109" i="6"/>
  <c r="Q66" i="6"/>
  <c r="Q72" i="6"/>
  <c r="Q75" i="6"/>
  <c r="Q73" i="6"/>
  <c r="Q70" i="6"/>
  <c r="Q68" i="6"/>
  <c r="Q67" i="6"/>
  <c r="Q65" i="6"/>
  <c r="Q74" i="6"/>
  <c r="Q76" i="6"/>
  <c r="Q69" i="6"/>
  <c r="Q71" i="6"/>
  <c r="M109" i="6"/>
  <c r="M74" i="6"/>
  <c r="M72" i="6"/>
  <c r="M75" i="6"/>
  <c r="M68" i="6"/>
  <c r="M76" i="6"/>
  <c r="M66" i="6"/>
  <c r="M69" i="6"/>
  <c r="M71" i="6"/>
  <c r="M70" i="6"/>
  <c r="M73" i="6"/>
  <c r="M67" i="6"/>
  <c r="S109" i="6"/>
  <c r="S67" i="6"/>
  <c r="S65" i="6"/>
  <c r="S69" i="6"/>
  <c r="S70" i="6"/>
  <c r="S73" i="6"/>
  <c r="S76" i="6"/>
  <c r="S68" i="6"/>
  <c r="S71" i="6"/>
  <c r="S75" i="6"/>
  <c r="S74" i="6"/>
  <c r="S66" i="6"/>
  <c r="S72" i="6"/>
  <c r="O109" i="6"/>
  <c r="O71" i="6"/>
  <c r="O76" i="6"/>
  <c r="O67" i="6"/>
  <c r="O75" i="6"/>
  <c r="O70" i="6"/>
  <c r="O74" i="6"/>
  <c r="O72" i="6"/>
  <c r="O65" i="6"/>
  <c r="O68" i="6"/>
  <c r="O73" i="6"/>
  <c r="O66" i="6"/>
  <c r="O69" i="6"/>
  <c r="H59" i="6"/>
  <c r="I60" i="6"/>
  <c r="I58" i="6"/>
  <c r="I108" i="6"/>
  <c r="Y100" i="6" l="1"/>
  <c r="H11" i="14"/>
  <c r="Y102" i="6"/>
  <c r="Y101" i="6"/>
  <c r="M77" i="6"/>
  <c r="M85" i="6" s="1"/>
  <c r="M87" i="6" s="1"/>
  <c r="M110" i="6" s="1"/>
  <c r="M112" i="6" s="1"/>
  <c r="M97" i="6" s="1"/>
  <c r="M98" i="6" s="1"/>
  <c r="M99" i="6" s="1"/>
  <c r="M103" i="6" s="1"/>
  <c r="M113" i="6" s="1"/>
  <c r="M114" i="6" s="1"/>
  <c r="W77" i="6"/>
  <c r="W85" i="6" s="1"/>
  <c r="W87" i="6" s="1"/>
  <c r="W110" i="6" s="1"/>
  <c r="W112" i="6" s="1"/>
  <c r="W97" i="6" s="1"/>
  <c r="W98" i="6" s="1"/>
  <c r="W99" i="6" s="1"/>
  <c r="W103" i="6" s="1"/>
  <c r="W113" i="6" s="1"/>
  <c r="W114" i="6" s="1"/>
  <c r="Q77" i="6"/>
  <c r="Q85" i="6" s="1"/>
  <c r="Q87" i="6" s="1"/>
  <c r="Q110" i="6" s="1"/>
  <c r="Q112" i="6" s="1"/>
  <c r="Q97" i="6" s="1"/>
  <c r="Q98" i="6" s="1"/>
  <c r="Q99" i="6" s="1"/>
  <c r="Q103" i="6" s="1"/>
  <c r="Q113" i="6" s="1"/>
  <c r="Q114" i="6" s="1"/>
  <c r="O77" i="6"/>
  <c r="O85" i="6" s="1"/>
  <c r="O87" i="6" s="1"/>
  <c r="O110" i="6" s="1"/>
  <c r="O112" i="6" s="1"/>
  <c r="O97" i="6" s="1"/>
  <c r="O98" i="6" s="1"/>
  <c r="O99" i="6" s="1"/>
  <c r="O103" i="6" s="1"/>
  <c r="O113" i="6" s="1"/>
  <c r="O114" i="6" s="1"/>
  <c r="K77" i="6"/>
  <c r="K85" i="6" s="1"/>
  <c r="K87" i="6" s="1"/>
  <c r="K110" i="6" s="1"/>
  <c r="K112" i="6" s="1"/>
  <c r="K97" i="6" s="1"/>
  <c r="K98" i="6" s="1"/>
  <c r="K99" i="6" s="1"/>
  <c r="K103" i="6" s="1"/>
  <c r="K113" i="6" s="1"/>
  <c r="K114" i="6" s="1"/>
  <c r="AA77" i="6"/>
  <c r="AA85" i="6" s="1"/>
  <c r="AA87" i="6" s="1"/>
  <c r="AA110" i="6" s="1"/>
  <c r="AA112" i="6" s="1"/>
  <c r="AA97" i="6" s="1"/>
  <c r="AA98" i="6" s="1"/>
  <c r="AA99" i="6" s="1"/>
  <c r="AA103" i="6" s="1"/>
  <c r="AA113" i="6" s="1"/>
  <c r="AA114" i="6" s="1"/>
  <c r="H12" i="14" s="1"/>
  <c r="J12" i="14" s="1"/>
  <c r="M12" i="14" s="1"/>
  <c r="O12" i="14" s="1"/>
  <c r="I59" i="6"/>
  <c r="I61" i="6" s="1"/>
  <c r="H61" i="6"/>
  <c r="S77" i="6"/>
  <c r="S85" i="6" s="1"/>
  <c r="S87" i="6" s="1"/>
  <c r="S110" i="6" s="1"/>
  <c r="S112" i="6" s="1"/>
  <c r="S97" i="6" s="1"/>
  <c r="S98" i="6" s="1"/>
  <c r="S99" i="6" s="1"/>
  <c r="S103" i="6" s="1"/>
  <c r="S113" i="6" s="1"/>
  <c r="S114" i="6" s="1"/>
  <c r="U77" i="6"/>
  <c r="U85" i="6" s="1"/>
  <c r="U87" i="6" s="1"/>
  <c r="U110" i="6" s="1"/>
  <c r="U112" i="6" s="1"/>
  <c r="U97" i="6" s="1"/>
  <c r="U98" i="6" s="1"/>
  <c r="U99" i="6" s="1"/>
  <c r="U103" i="6" s="1"/>
  <c r="U113" i="6" s="1"/>
  <c r="U114" i="6" s="1"/>
  <c r="S100" i="6" l="1"/>
  <c r="S101" i="6"/>
  <c r="H8" i="14"/>
  <c r="J8" i="14" s="1"/>
  <c r="M8" i="14" s="1"/>
  <c r="O8" i="14" s="1"/>
  <c r="S102" i="6"/>
  <c r="I74" i="6"/>
  <c r="I66" i="6"/>
  <c r="I68" i="6"/>
  <c r="I72" i="6"/>
  <c r="I73" i="6"/>
  <c r="I70" i="6"/>
  <c r="I76" i="6"/>
  <c r="I67" i="6"/>
  <c r="I109" i="6"/>
  <c r="I71" i="6"/>
  <c r="I69" i="6"/>
  <c r="I65" i="6"/>
  <c r="I75" i="6"/>
  <c r="AA100" i="6"/>
  <c r="AA102" i="6"/>
  <c r="AA101" i="6"/>
  <c r="J11" i="14"/>
  <c r="M11" i="14" s="1"/>
  <c r="O11" i="14" s="1"/>
  <c r="K101" i="6"/>
  <c r="H4" i="14"/>
  <c r="J4" i="14" s="1"/>
  <c r="M4" i="14" s="1"/>
  <c r="O4" i="14" s="1"/>
  <c r="K100" i="6"/>
  <c r="K102" i="6"/>
  <c r="O100" i="6"/>
  <c r="H6" i="14"/>
  <c r="J6" i="14" s="1"/>
  <c r="M6" i="14" s="1"/>
  <c r="O6" i="14" s="1"/>
  <c r="O102" i="6"/>
  <c r="O101" i="6"/>
  <c r="Q100" i="6"/>
  <c r="Q101" i="6"/>
  <c r="Q102" i="6"/>
  <c r="H7" i="14"/>
  <c r="J7" i="14" s="1"/>
  <c r="M7" i="14" s="1"/>
  <c r="O7" i="14" s="1"/>
  <c r="U102" i="6"/>
  <c r="U101" i="6"/>
  <c r="H9" i="14"/>
  <c r="J9" i="14" s="1"/>
  <c r="M9" i="14" s="1"/>
  <c r="O9" i="14" s="1"/>
  <c r="U100" i="6"/>
  <c r="W101" i="6"/>
  <c r="W100" i="6"/>
  <c r="W102" i="6"/>
  <c r="H10" i="14"/>
  <c r="J10" i="14" s="1"/>
  <c r="M10" i="14" s="1"/>
  <c r="O10" i="14" s="1"/>
  <c r="H5" i="14"/>
  <c r="J5" i="14" s="1"/>
  <c r="M5" i="14" s="1"/>
  <c r="O5" i="14" s="1"/>
  <c r="M102" i="6"/>
  <c r="M101" i="6"/>
  <c r="M100" i="6"/>
  <c r="I77" i="6" l="1"/>
  <c r="I85" i="6" s="1"/>
  <c r="I87" i="6" s="1"/>
  <c r="I110" i="6" s="1"/>
  <c r="I112" i="6" s="1"/>
  <c r="I97" i="6" l="1"/>
  <c r="I98" i="6" s="1"/>
  <c r="I99" i="6" s="1"/>
  <c r="I103" i="6" s="1"/>
  <c r="I113" i="6" s="1"/>
  <c r="I114" i="6" l="1"/>
  <c r="I102" i="6" l="1"/>
  <c r="I101" i="6"/>
  <c r="H3" i="14"/>
  <c r="J3" i="14" s="1"/>
  <c r="M3" i="14" s="1"/>
  <c r="O3" i="14" s="1"/>
  <c r="O13" i="14" s="1"/>
  <c r="I100" i="6"/>
</calcChain>
</file>

<file path=xl/sharedStrings.xml><?xml version="1.0" encoding="utf-8"?>
<sst xmlns="http://schemas.openxmlformats.org/spreadsheetml/2006/main" count="650" uniqueCount="304">
  <si>
    <t>Grupo</t>
  </si>
  <si>
    <t>Item</t>
  </si>
  <si>
    <t>Local de Atuação</t>
  </si>
  <si>
    <t>Turno</t>
  </si>
  <si>
    <t>Tipo Cargo</t>
  </si>
  <si>
    <t>Jornada</t>
  </si>
  <si>
    <t>Descrição</t>
  </si>
  <si>
    <t>Valor proposto por empregado</t>
  </si>
  <si>
    <t>Quantidade de empregados por posto</t>
  </si>
  <si>
    <t>Custo Mensal Posto</t>
  </si>
  <si>
    <t>Quantidade de postos</t>
  </si>
  <si>
    <t>Qtd Empregados</t>
  </si>
  <si>
    <t>Total Mensal (R$)</t>
  </si>
  <si>
    <t>Qtd Meses</t>
  </si>
  <si>
    <t>Total Contrato (R$)</t>
  </si>
  <si>
    <t>A</t>
  </si>
  <si>
    <t>B</t>
  </si>
  <si>
    <t>C = A x B</t>
  </si>
  <si>
    <t>D</t>
  </si>
  <si>
    <t>E</t>
  </si>
  <si>
    <t>F = C x D</t>
  </si>
  <si>
    <t>G</t>
  </si>
  <si>
    <t>H = F x G</t>
  </si>
  <si>
    <t>DEAIN</t>
  </si>
  <si>
    <t>DIURNO</t>
  </si>
  <si>
    <t>SUPERVISÃO
BILÍNGUE</t>
  </si>
  <si>
    <t>12x36</t>
  </si>
  <si>
    <t>Posto de 12 (doze) horas diurnas , todos os dias da semana, inclusive sábados, domingos e feriados, envolvendo 2 (dois) supervisores bilíngues em turnos de 12 (doze) x 36 trinta e seis horas.</t>
  </si>
  <si>
    <t>NOTURNO</t>
  </si>
  <si>
    <t>Posto de 12 (doze) horas noturno , todos os dias da semana, inclusive sábados, domingos e feriados, envolvendo 2 (dois) supervisores bilíngues em turnos de 12 (doze) x 36 trinta e seis horas.</t>
  </si>
  <si>
    <t>RECEPCIONISTA
BILÍNGUE</t>
  </si>
  <si>
    <t>Posto de 12 (doze) horas diurnas , todos os dias da semana, inclusive sábados, domingos e feriados, envolvendo 2 (dois) recepcionistas bilíngues em turnos de 12 (doze) x 36 trinta e seis horas.</t>
  </si>
  <si>
    <t>Posto de 12 (doze) horas noturno , todos os dias da semana, inclusive sábados, domingos e feriados, envolvendo 2 (dois) recepcionistas bilíngues em turnos de 12 (doze) x 36 trinta e seis horas.</t>
  </si>
  <si>
    <t>RECEPCIONISTA
PADRÃO</t>
  </si>
  <si>
    <t>Posto de 12 (doze) horas diurnas , todos os dias da semana, inclusive sábados, domingos e feriados, envolvendo 2 (dois) recepcionistas em turnos de 12 (doze) x 36 trinta e seis horas.</t>
  </si>
  <si>
    <t>Posto de 12 (doze) horas noturno, todos os dias da semana, inclusive sábados, domingos e feriados, envolvendo 2 (dois) recepcionistas em turnos de 12 (doze) x 36 trinta e seis horas.</t>
  </si>
  <si>
    <t>6x1 (6H)
36h</t>
  </si>
  <si>
    <t>6x1 (5H)
30h</t>
  </si>
  <si>
    <t>PORTO / DEAIN</t>
  </si>
  <si>
    <t>PADRÃO</t>
  </si>
  <si>
    <r>
      <t xml:space="preserve">Posto de 12 (doze) horas diurnas , </t>
    </r>
    <r>
      <rPr>
        <b/>
        <u/>
        <sz val="9"/>
        <color theme="1"/>
        <rFont val="Century GotCehic"/>
      </rPr>
      <t>SOMENTE para alta temporada (novembro à abril)</t>
    </r>
    <r>
      <rPr>
        <sz val="9"/>
        <color theme="1"/>
        <rFont val="Century GotCehic"/>
      </rPr>
      <t xml:space="preserve">, todos os dias da semana, inclusive sábados, domingos e feriados, envolvendo 2 (dois) recepcionistas em turnos de 12 (doze) x 36 trinta e seis horas. </t>
    </r>
  </si>
  <si>
    <t>PORTO</t>
  </si>
  <si>
    <t>Nº DO PROCESSO</t>
  </si>
  <si>
    <t>08455.007528/2020-25</t>
  </si>
  <si>
    <t>LICITAÇÃO</t>
  </si>
  <si>
    <t>PREGÃO ELETRÔNICO XX/2020</t>
  </si>
  <si>
    <t>1 - Tipo de Serviço</t>
  </si>
  <si>
    <t>Contratação de pessoa jurídica especializada para prestação de serviços continuados de recepção, com dedicação exclusiva de mão-de-obra, para apoio no controle migratório a ser realizado no Aeroporto Internacional do Rio de Janeiro e no Porto desta cidade, mediante o regime de empreitada por preço global.</t>
  </si>
  <si>
    <t>2- Classificação Brasileira de Ocupação (CBO)</t>
  </si>
  <si>
    <t>4101-05</t>
  </si>
  <si>
    <t>4221-05</t>
  </si>
  <si>
    <t>3- Salário Normativo da Categoria Profisisonal</t>
  </si>
  <si>
    <t>4 - Categoria Profissional (Vinculada à Execução contratual)</t>
  </si>
  <si>
    <t>SUPERVISOR DIURNO
12X36H</t>
  </si>
  <si>
    <t>SUPERVISOR NOTURNO
12X36H</t>
  </si>
  <si>
    <t>12X36H DIURNO - BILINGUE</t>
  </si>
  <si>
    <t>12X36H NOTURNO - BILINGUE</t>
  </si>
  <si>
    <t>12X36H DIURNO</t>
  </si>
  <si>
    <t>12X36H NOTURNO</t>
  </si>
  <si>
    <t>6X1 (6H)</t>
  </si>
  <si>
    <t>6X1 (5H)</t>
  </si>
  <si>
    <t>ALTA TEMPORADA 12x36H DIURNO</t>
  </si>
  <si>
    <t>5 - Data Base</t>
  </si>
  <si>
    <t>01º de janeiro</t>
  </si>
  <si>
    <t xml:space="preserve">4 - Convenção Coletiva </t>
  </si>
  <si>
    <t>6 - Nº de meses de execução contratual</t>
  </si>
  <si>
    <t>12 meses</t>
  </si>
  <si>
    <t>7 - Unidade de medida</t>
  </si>
  <si>
    <t>Homem-mês</t>
  </si>
  <si>
    <t>Modulo 1 -Composição de Remuneração</t>
  </si>
  <si>
    <t>COMPOSIÇÃO DA REMUNERAÇÃO</t>
  </si>
  <si>
    <t>%</t>
  </si>
  <si>
    <t>VALOR (R$)</t>
  </si>
  <si>
    <t>Salário Base</t>
  </si>
  <si>
    <t>Adicional Súmula 146 - TST - Feriado dobrado (1,17 por mês)</t>
  </si>
  <si>
    <t>C</t>
  </si>
  <si>
    <t>Intervalo intrajornada</t>
  </si>
  <si>
    <t>Adicional noturno</t>
  </si>
  <si>
    <t>F</t>
  </si>
  <si>
    <t>Outros (Especificar)</t>
  </si>
  <si>
    <t>TOTAL DA REMUNERAÇÃO</t>
  </si>
  <si>
    <t>Módulo 2 - Encargos e Benefícios Mensais e Diários</t>
  </si>
  <si>
    <t>2.1</t>
  </si>
  <si>
    <t>Submódulo  2.1 - 13º SALÁRIO E ADICIONAL DE FÉRIAS</t>
  </si>
  <si>
    <t>13 º (Décimo-terceiro) salário</t>
  </si>
  <si>
    <t>Férias e Adicional de Férias</t>
  </si>
  <si>
    <t xml:space="preserve">TOTAL DE 13º SALÁRIO E DE ADICIONAL DE FÉRIAS </t>
  </si>
  <si>
    <t>2.2</t>
  </si>
  <si>
    <t>Submódulo 2.2 -  ENCARGOS PREVIDÊNCIÁRIOS E FGTS</t>
  </si>
  <si>
    <t>INSS</t>
  </si>
  <si>
    <t>SALÁRIO EDUCAÇÃO</t>
  </si>
  <si>
    <t>SAT</t>
  </si>
  <si>
    <t>SESI OU SESC</t>
  </si>
  <si>
    <t>SENAI OU SENAC</t>
  </si>
  <si>
    <t>SEBRAE</t>
  </si>
  <si>
    <t>INCRA</t>
  </si>
  <si>
    <t>H</t>
  </si>
  <si>
    <t>FGTS</t>
  </si>
  <si>
    <t>TOTAL DE ENCARGOS PREVIDÊNCIÁRIOS E FGTS</t>
  </si>
  <si>
    <t>2.3</t>
  </si>
  <si>
    <t>Submódulo 2.3 - BENEFÍCIOS MENSAIS E DIÁRIOS</t>
  </si>
  <si>
    <t>Transporte  =(4,05 x 2 x dias trabalhados)-(6% x salário) 
Valor unitário: R$ 4,05 (15 dias-12x36 / 26 dias-6x1)</t>
  </si>
  <si>
    <t>Auxílio Alimentação (Cláusula 20º do CCT, Parágrafo 2º - desconto de 10%)
(15 dias-12x36 / 26 dias-6x1)</t>
  </si>
  <si>
    <t>TOTAL DE BENEFÍCIOS MENSAIS E DIÁRIOS</t>
  </si>
  <si>
    <t>Quadro-Resumo do Módulo 2 - Encargos e Benefícios anuais, mensais e diários</t>
  </si>
  <si>
    <t xml:space="preserve">TOTAL </t>
  </si>
  <si>
    <t>Módulo 3 - Provisão para Rescisão</t>
  </si>
  <si>
    <t xml:space="preserve"> PROVISÃO PARA RESCISÃO</t>
  </si>
  <si>
    <t>Aviso Prévio Indenizado</t>
  </si>
  <si>
    <t>Incidência do FGTS sobre Aviso Prévio Indenizado</t>
  </si>
  <si>
    <t>TOTAL DE PROVISÃO PARA RESCISÃO</t>
  </si>
  <si>
    <t>Módulo 4 - Custos de Reposição do Profissional Ausente</t>
  </si>
  <si>
    <t>Submódulo 4.1 COMPOSIÇÃO DO CUSTO DE REPOSIÇÃO DO PROFISISONAL AUSENTE</t>
  </si>
  <si>
    <t>TOTAL DE CUSTO DE REPOSIÇÃO</t>
  </si>
  <si>
    <t>Submódulo 4.2 INTRAJORNADA</t>
  </si>
  <si>
    <t>INTRAJORNADA</t>
  </si>
  <si>
    <t>Intervalo para repouso e alimentação</t>
  </si>
  <si>
    <t>TOTAL INTRAJORNADA</t>
  </si>
  <si>
    <t>Quadro-Resumo do Módulo 4 - CUSTO DE REPOSIÇÃO DE PROFISSIONAL AUSENTE</t>
  </si>
  <si>
    <t>4.1</t>
  </si>
  <si>
    <t>4.2</t>
  </si>
  <si>
    <t>Módulo 5 - Insumos Diversos</t>
  </si>
  <si>
    <t>Uniformes</t>
  </si>
  <si>
    <t>EPI's</t>
  </si>
  <si>
    <t>Curso de Familiarização - AVSEC</t>
  </si>
  <si>
    <t>TOTAL DOS INSUMOS</t>
  </si>
  <si>
    <t>Módulo 6 - CUSTOS INDIRETOS, TRIBUTOS E LUCRO (CÁLCULO REALIZADO NA ABA BDI MO FIXA)</t>
  </si>
  <si>
    <t>Despesas Administrativas e operacionais</t>
  </si>
  <si>
    <t>Lucro</t>
  </si>
  <si>
    <t>TRIBUTOS</t>
  </si>
  <si>
    <t>C.1</t>
  </si>
  <si>
    <t>C.2</t>
  </si>
  <si>
    <t>C.3</t>
  </si>
  <si>
    <t>TOTAL DO MÓDULO 6</t>
  </si>
  <si>
    <t>QUADRO RESUMO DO CUSTO POR EMPREGADO</t>
  </si>
  <si>
    <t>Mão-de-Obra vinculada à execução contratual (valor por empregado)</t>
  </si>
  <si>
    <t>Modulo 1 - Composição da Remuneração</t>
  </si>
  <si>
    <t>Modulo 2- Encagos e Benefícios Anuais, Mensais e Diários</t>
  </si>
  <si>
    <t>Modulo 3 - Provisão Para Rescisão</t>
  </si>
  <si>
    <t>Módulo 4 - Custo de Reposição Profisasional Ausente</t>
  </si>
  <si>
    <t>Modulo 5 - Insumos Diversos</t>
  </si>
  <si>
    <t>Subtotal (A + B + C + D + E)</t>
  </si>
  <si>
    <t>PREÇO TOTAL POR EMPREGADO</t>
  </si>
  <si>
    <t>CATEGORIA PROFISSIONAL</t>
  </si>
  <si>
    <t>SINDICATO VINCULADO À CATEGORIA</t>
  </si>
  <si>
    <t>CONVENÇÃO COLETIVA</t>
  </si>
  <si>
    <t>SALÁRIO 2020</t>
  </si>
  <si>
    <t>VALE ALIMENTAÇÃO</t>
  </si>
  <si>
    <t>VALE TRANSPORTE</t>
  </si>
  <si>
    <t>CURSO AVSEC        (R$ 228,00 ÷ 12)</t>
  </si>
  <si>
    <t>BENEFÍCIO SOCIAL E FAMILIAR</t>
  </si>
  <si>
    <t>Supervisor</t>
  </si>
  <si>
    <t>Sindicato dos Empregados de Empresas de Asseio e Conservação do Município do Rio de Janeiro           (S.E.E.A.C.M.R.J)</t>
  </si>
  <si>
    <t>RJ000705/2019</t>
  </si>
  <si>
    <t>Recepcionista Bilingue</t>
  </si>
  <si>
    <t>Recepcionista Padrão</t>
  </si>
  <si>
    <t>Recepcionista 6X1 6H</t>
  </si>
  <si>
    <t>Recepcionista 6X1 5H</t>
  </si>
  <si>
    <t>MEMÓRIA DE CÁLCULO DOS CUSTOS COM EPIs</t>
  </si>
  <si>
    <t>As especificações dos EPIs devem seguir as orientações da  Nota Técnica n 04-2020 GVIMS-GGTES-ANVISA, para os profissionais de apoio</t>
  </si>
  <si>
    <t>Premissas</t>
  </si>
  <si>
    <t>1 - 1 (uma) máscara descartável a cada 3 horas - 4 (quatro) por dia para os postos 12x36h e 2 (duas) por dia para os postos 6x1;</t>
  </si>
  <si>
    <t>2 - 1 (uma) luva descartável a cada 2 horas - 6 (seis) por dia para os postos 12x36h e 3 (três) por dia para os postos 6x1;</t>
  </si>
  <si>
    <t>3 - 1 (um) vidro de álcool gel 70% de 1Kg por mês;</t>
  </si>
  <si>
    <t>4 - 1 (uma) viseira a cada 3 (três) meses;</t>
  </si>
  <si>
    <t>Custo Unitário</t>
  </si>
  <si>
    <t>Valor Anual Total</t>
  </si>
  <si>
    <t>máscara cirúrgica, tipo não tecido,2 camadas, pregas horizontais, atóxica, características adicionais, hipoalergênica, tipo uso descartável</t>
  </si>
  <si>
    <t>Álcool gél 70 1kg</t>
  </si>
  <si>
    <t xml:space="preserve">Protetor Facial (Face Shield) </t>
  </si>
  <si>
    <t>Funcionário Posto 12x36</t>
  </si>
  <si>
    <t>Qtd Diária</t>
  </si>
  <si>
    <t>Qtd Mensal</t>
  </si>
  <si>
    <t>Valor Mensal</t>
  </si>
  <si>
    <t>Valor Anual</t>
  </si>
  <si>
    <t>Total Mensal</t>
  </si>
  <si>
    <t>Funcionário Posto 6x1</t>
  </si>
  <si>
    <t>MEMÓRIA DE CÁLCULO DOS CUSTOS COM UNIFORMES</t>
  </si>
  <si>
    <t>COMPOSIÇÃO</t>
  </si>
  <si>
    <t>Categoria</t>
  </si>
  <si>
    <t>Gênero</t>
  </si>
  <si>
    <t>Quantidade Semestral</t>
  </si>
  <si>
    <t>Valor total</t>
  </si>
  <si>
    <t>RECEPCIONISTA</t>
  </si>
  <si>
    <t>FEMININO</t>
  </si>
  <si>
    <t>Calças sociais azul marinho</t>
  </si>
  <si>
    <t>Camisas sociais brancas com botões  de manga curta</t>
  </si>
  <si>
    <t>Camisas sociais brancas com botões de manga longa</t>
  </si>
  <si>
    <t>Lenço tipo seda, na cor azul celeste</t>
  </si>
  <si>
    <t>Blazer azul marinho</t>
  </si>
  <si>
    <t>MASCULINO</t>
  </si>
  <si>
    <t>Gravata azul celeste lisa</t>
  </si>
  <si>
    <t>VALOR SEMESTRAL MÉDIO</t>
  </si>
  <si>
    <t>VALOR MENSAL MÉDIO</t>
  </si>
  <si>
    <t>MEMÓRIA DE CÁLCULO DOS CUSTOS COM RELÓGIOS DE PONTO</t>
  </si>
  <si>
    <t>Quantidade</t>
  </si>
  <si>
    <t>Depreciação (Meses)</t>
  </si>
  <si>
    <t>Valor Total Mensal</t>
  </si>
  <si>
    <t>D = A x B ÷ C</t>
  </si>
  <si>
    <t>RELÓGIO DE PONTO</t>
  </si>
  <si>
    <t>Relógio de Ponto Biométrico - Keypass - Modelo KP-1510</t>
  </si>
  <si>
    <t>VALOR MENSAL</t>
  </si>
  <si>
    <t>QUANTIDADE DE EMPREGADOS (Funcionários do item 9 são considerados pela metade, pois somente permanecem por 6 meses)</t>
  </si>
  <si>
    <t>VALOR MENSAL POR FUNCIONÁRIO (Valor Mensal ÷ pela quantidade de funcionários do contrato)</t>
  </si>
  <si>
    <t>PLANILHA DE COMPOSIÇÃO DOS ENCARGOS SOCIAIS INCIDENTES SOBRE A REMUNERAÇÃO</t>
  </si>
  <si>
    <t>Encargos Previdenciários, FGTS, e outras contribuições</t>
  </si>
  <si>
    <t>MEMÓRIA DE CÁLCULO</t>
  </si>
  <si>
    <t>FUNDAMENTAÇÃO LEGAL</t>
  </si>
  <si>
    <t>-</t>
  </si>
  <si>
    <t>Art. 22, Inciso I, da Lei nº 8.212/91.</t>
  </si>
  <si>
    <t>SESI ou SESC</t>
  </si>
  <si>
    <t>Art. 3º, Lei n.º 8.036/90.</t>
  </si>
  <si>
    <t>SENAI ou SENAC</t>
  </si>
  <si>
    <t>Decreto n.º 2.318/86.</t>
  </si>
  <si>
    <t>Lei n.º 7.787/89 e DL n.º 1.146/70.</t>
  </si>
  <si>
    <t>Salário Educação</t>
  </si>
  <si>
    <t>Art. 3º, Inciso I, Decreto n.º 87.043/82.</t>
  </si>
  <si>
    <t>Art. 15, Lei nº 8.030/90 e Art. 7º, III, CF.</t>
  </si>
  <si>
    <t>Seguro Acidente do Trabalho</t>
  </si>
  <si>
    <t xml:space="preserve"> RAT x FAP = 2 x 1,000 =3,000%</t>
  </si>
  <si>
    <t>RAT x FAP, em que:                                                                                                                                                                                                                                                                                                                        RAT – 2% (Serviços combinados de escritório e apoio administrativo - código 8211-3/00 do Anexo V do Decreto n.º 3.048/1999).                                                                                                                                                                                                                                                                                                                                                                                                                                                                                                                                                                                                                                                                                                                                                                                                                                                                                                                              FAP – 1,000 (Conforme comprovante INSS, anexo à documentação de habilitação.                                                                                                                                                                                                                                                                                                                                                                          RAT x FAP = 2 x 1,000 =2,000%</t>
  </si>
  <si>
    <t>Art. 8º, Lei n.º 8.029/90 e Lei n.º 8.154/90.</t>
  </si>
  <si>
    <t>TOTAL</t>
  </si>
  <si>
    <t>Submódulo 2.1 - 13º Salário</t>
  </si>
  <si>
    <t>13º Salário</t>
  </si>
  <si>
    <t>Constituição Federal de 1988 (Art. 7º, VIII).</t>
  </si>
  <si>
    <t>Provisão para Rescisão</t>
  </si>
  <si>
    <t>Aviso prévio indenizado</t>
  </si>
  <si>
    <t>Constituição Federal de 1988 (Art. 7º, XXI); CLT (Art. 477, 487 a 491).</t>
  </si>
  <si>
    <t>Incidência de FGTS sobre aviso prévio indenizado</t>
  </si>
  <si>
    <t>Multa do FGTS e contribuições sociais sobre o aviso prévio indenizado</t>
  </si>
  <si>
    <t>Aviso prévio trabalhado</t>
  </si>
  <si>
    <t>Incidência dos encargos do Submódulo 4.1 sobre aviso prévio trabalhado</t>
  </si>
  <si>
    <t>Multa sobre FGTS e contribuições sociais sobre o aviso prévio trabalhado</t>
  </si>
  <si>
    <t>PIS</t>
  </si>
  <si>
    <t>COFINS</t>
  </si>
  <si>
    <t>ISSQN</t>
  </si>
  <si>
    <t>CUSTOS INDIRETOS</t>
  </si>
  <si>
    <t>LUCRO</t>
  </si>
  <si>
    <t>Detalhamento</t>
  </si>
  <si>
    <t>Memória de Cálculo</t>
  </si>
  <si>
    <r>
      <rPr>
        <b/>
        <sz val="9"/>
        <color theme="1"/>
        <rFont val="Calibri"/>
        <family val="2"/>
        <scheme val="minor"/>
      </rPr>
      <t>Adicional Noturno</t>
    </r>
    <r>
      <rPr>
        <sz val="9"/>
        <color theme="1"/>
        <rFont val="Calibri"/>
        <family val="2"/>
        <scheme val="minor"/>
      </rPr>
      <t xml:space="preserve">
</t>
    </r>
  </si>
  <si>
    <t>- 20% sobre a hora de trabalho reduzida.
- Cada 52,5 minutos trabalhados são contabilizados como sendo 60 minutos de hora noturna
- Ou seja, a cada 7 horas noturnas trabalhadas, devemos considerar no cálculo como sendo 8 horas.
- Para um postos 12x36 são então 8 horas durante 15 dias, totalizando 120 horas</t>
  </si>
  <si>
    <t>(Salário/220)*8*15*0,2</t>
  </si>
  <si>
    <t>O adicional noturno consta no Artigo 7, inciso IX da Constituição Federal e no Artigo 73 da CLT.</t>
  </si>
  <si>
    <r>
      <rPr>
        <b/>
        <sz val="9"/>
        <color theme="1"/>
        <rFont val="Calibri"/>
        <family val="2"/>
        <scheme val="minor"/>
      </rPr>
      <t>Feriado Trabalhado (Postos 6x1 6h e 5h)</t>
    </r>
    <r>
      <rPr>
        <sz val="9"/>
        <color theme="1"/>
        <rFont val="Calibri"/>
        <family val="2"/>
        <scheme val="minor"/>
      </rPr>
      <t xml:space="preserve">
</t>
    </r>
  </si>
  <si>
    <t>São 14 feriados por ano, na cidade do Rio de Janeiro, na média, 1,17 por mês</t>
  </si>
  <si>
    <t>(Salário/180 ou 150)*(6 ou 5)*1,17</t>
  </si>
  <si>
    <r>
      <t>Súmula 146 - TST
"</t>
    </r>
    <r>
      <rPr>
        <i/>
        <sz val="9"/>
        <color theme="1"/>
        <rFont val="Calibri"/>
        <family val="2"/>
        <scheme val="minor"/>
      </rPr>
      <t>O trabalho prestado em domingos e feriados, não compensado, deve ser pago em dobro, sem prejuízo da remuneração relativa ao repouso semanal</t>
    </r>
    <r>
      <rPr>
        <sz val="9"/>
        <color theme="1"/>
        <rFont val="Calibri"/>
        <family val="2"/>
        <scheme val="minor"/>
      </rPr>
      <t>."</t>
    </r>
  </si>
  <si>
    <t>DSR Dobrado (Postos 6x1 6h e 5h)</t>
  </si>
  <si>
    <t>Conforme escala de trabalho proposta como padrão, haverá, na média, 1 DSR dobrado por mês, para cada funcionário</t>
  </si>
  <si>
    <t>(Salário/180 ou 150)*(6 ou 5)</t>
  </si>
  <si>
    <r>
      <t>Adicional  Orientação 410 - TST
"</t>
    </r>
    <r>
      <rPr>
        <i/>
        <sz val="11"/>
        <color theme="1"/>
        <rFont val="Calibri"/>
        <family val="2"/>
        <scheme val="minor"/>
      </rPr>
      <t>Viola o art. 7º, XV, da CF a concessão de repouso semanal remunerado após o sétimo dia consecutivo de trabalho, importando no seu  pagamento em dobro.</t>
    </r>
    <r>
      <rPr>
        <sz val="11"/>
        <color theme="1"/>
        <rFont val="Calibri"/>
        <family val="2"/>
        <scheme val="minor"/>
      </rPr>
      <t xml:space="preserve"> "</t>
    </r>
  </si>
  <si>
    <t>1/12</t>
  </si>
  <si>
    <t>(1/3)/12=1/36</t>
  </si>
  <si>
    <t>Módulo 6 - Custos Indiretos, Tributos e Lucro</t>
  </si>
  <si>
    <t>COMPOSIÇÃO DOS CUSTOS</t>
  </si>
  <si>
    <t>Adicional  Orientação 410 - TST - DSR dobrado (1,25 por mês)</t>
  </si>
  <si>
    <t>Férias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</si>
  <si>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</si>
  <si>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</si>
  <si>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</si>
  <si>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</si>
  <si>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</si>
  <si>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</si>
  <si>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</si>
  <si>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</si>
  <si>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</si>
  <si>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</si>
  <si>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</si>
  <si>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I</t>
  </si>
  <si>
    <t>J</t>
  </si>
  <si>
    <t>K</t>
  </si>
  <si>
    <t>L</t>
  </si>
  <si>
    <t>Total de Dias de Afastamento Máximo em 12 meses a ser ressarcido pela Contratante</t>
  </si>
  <si>
    <t>Dias de Ausências Legais Estimado em 12 Meses</t>
  </si>
  <si>
    <t>Limite Superior Máximo Por Ocorrência Aceito em 12 meses</t>
  </si>
  <si>
    <t>Adicional de Férias</t>
  </si>
  <si>
    <t>Tributos Federais (COFINS)</t>
  </si>
  <si>
    <t>Tributos Municipias (ISS)</t>
  </si>
  <si>
    <t>Tributos Federais (PIS)</t>
  </si>
  <si>
    <t>API - Aviso Prévio Indenizado - Com Probabilidade</t>
  </si>
  <si>
    <t>APT - Aviso Prévio Trabalhado - Com Probabilidade</t>
  </si>
  <si>
    <t>Multa do FGTS sobre o Aviso Prévio Trabalhado</t>
  </si>
  <si>
    <t>Probabilidade</t>
  </si>
  <si>
    <t>Multa do FGTS sobre o Aviso Prévio Indenizado</t>
  </si>
  <si>
    <t>SEAC-RJ  2020/2021</t>
  </si>
  <si>
    <t>Percentuais e Valores Comuns aos Postos</t>
  </si>
  <si>
    <t>Dias Afastamentos em 12 meses</t>
  </si>
  <si>
    <t>DEAIN /
PORTO</t>
  </si>
  <si>
    <t>Par Luva descartável sem pó - nitrílica ou de látex</t>
  </si>
  <si>
    <t>Relógio de Ponto Biométrico - (3 equipamentos ÷ 12 meses ÷ Qtd recepcionistas)</t>
  </si>
  <si>
    <t>Outros (Cláusula 26ª CCT - Benefício Social e Familiar)</t>
  </si>
  <si>
    <t>Posto de 6 (seis) horas diurnas, 6 (seis) dias da semana, 36 (trinta e seis) horas semanais, inclusive sábados, domingos e feriados, envolvendo 1 (um) recepcionista. As regras da escala de trabalho estão definidas no Termo de Referência.</t>
  </si>
  <si>
    <t>Posto de 5 (cinco) horas diurnas, 6 (seis) dias da semana, 30 (trinta) horas semanais, inclusive sábados, domingos e feriados, envolvendo 1 (um) recepcionista. As regras da escala de trabalho estão definidas no Termo de Referência.</t>
  </si>
  <si>
    <t>Qtd Mensal Total</t>
  </si>
  <si>
    <t>Qtd Mensal Total Global</t>
  </si>
  <si>
    <t>(1+1/12+1/12+1/3*1/12)</t>
  </si>
  <si>
    <t xml:space="preserve">Incidência do Submódulo 4.1 x Aviso Prévio Trabalhado, em que:                                                                                                                                                                                                                                                                                                                                               FGTS = 8%;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</si>
  <si>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Probabilidade de Ocorrer</t>
  </si>
  <si>
    <t>Lei nº 8.036, de 11 de maio de 1990 (Art. 18 § 1º) com redação dada pela Lei nº 9.491, de 9 de setembro de 1997; Lei Complementar nº 110, de 29 de junho de 2001. (Art. 1°).
Lei nº 13.932, de 11 de dezembro de 2019</t>
  </si>
  <si>
    <t xml:space="preserve">Incidência de FGTS x Aviso Prévio Indenizado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</si>
  <si>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(1+1/12+1/12+1/3*1/12)*(%FGTS)</t>
  </si>
  <si>
    <t>40%*(3.A+FGTS Módulo 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</si>
</sst>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&quot;R$&quot;\ #,##0.00"/>
    <numFmt numFmtId="167" formatCode="_(&quot;R$ &quot;* #,##0.00_);_(&quot;R$ &quot;* \(#,##0.00\);_(&quot;R$ &quot;* &quot;-&quot;??_);_(@_)"/>
    <numFmt numFmtId="168" formatCode="_-* #,##0_-;\-* #,##0_-;_-* &quot;-&quot;??_-;_-@_-"/>
    <numFmt numFmtId="169" formatCode="0.000%"/>
    <numFmt numFmtId="170" formatCode="_-* #,##0.000000_-;\-* #,##0.000000_-;_-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FF0000"/>
      <name val="Century Gothic"/>
      <family val="2"/>
    </font>
    <font>
      <sz val="8"/>
      <color theme="1"/>
      <name val="Century Gothic"/>
      <family val="2"/>
    </font>
    <font>
      <b/>
      <u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entury GotCehic"/>
    </font>
    <font>
      <b/>
      <sz val="9"/>
      <color theme="1"/>
      <name val="Century GotCehic"/>
    </font>
    <font>
      <sz val="9"/>
      <color theme="1"/>
      <name val="Century GotCehic"/>
    </font>
    <font>
      <b/>
      <u/>
      <sz val="9"/>
      <color theme="1"/>
      <name val="Century GotCehic"/>
    </font>
    <font>
      <b/>
      <sz val="16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57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1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6">
    <xf numFmtId="0" fontId="0" fillId="0" borderId="0" xfId="0"/>
    <xf numFmtId="0" fontId="21" fillId="0" borderId="16" xfId="0" applyFont="1" applyBorder="1" applyAlignment="1">
      <alignment horizontal="center" vertical="center" wrapText="1"/>
    </xf>
    <xf numFmtId="164" fontId="21" fillId="0" borderId="1" xfId="52" applyFont="1" applyBorder="1" applyAlignment="1">
      <alignment vertical="center"/>
    </xf>
    <xf numFmtId="0" fontId="0" fillId="0" borderId="0" xfId="0" applyAlignment="1">
      <alignment wrapText="1"/>
    </xf>
    <xf numFmtId="0" fontId="22" fillId="0" borderId="2" xfId="53" applyFont="1" applyBorder="1" applyAlignment="1">
      <alignment horizontal="center" vertical="center" wrapText="1"/>
    </xf>
    <xf numFmtId="0" fontId="22" fillId="38" borderId="2" xfId="53" applyFont="1" applyFill="1" applyBorder="1" applyAlignment="1">
      <alignment horizontal="center" vertical="center" wrapText="1"/>
    </xf>
    <xf numFmtId="0" fontId="23" fillId="0" borderId="13" xfId="53" applyFont="1" applyBorder="1" applyAlignment="1">
      <alignment horizontal="center" vertical="center" wrapText="1"/>
    </xf>
    <xf numFmtId="0" fontId="23" fillId="0" borderId="0" xfId="53" applyFont="1" applyBorder="1" applyAlignment="1">
      <alignment horizontal="center" vertical="center" wrapText="1"/>
    </xf>
    <xf numFmtId="0" fontId="22" fillId="0" borderId="1" xfId="53" applyFont="1" applyFill="1" applyBorder="1" applyAlignment="1">
      <alignment vertical="center" wrapText="1"/>
    </xf>
    <xf numFmtId="0" fontId="22" fillId="0" borderId="1" xfId="53" applyFont="1" applyFill="1" applyBorder="1" applyAlignment="1">
      <alignment horizontal="center" vertical="center" wrapText="1"/>
    </xf>
    <xf numFmtId="10" fontId="23" fillId="0" borderId="1" xfId="53" applyNumberFormat="1" applyFont="1" applyFill="1" applyBorder="1" applyAlignment="1">
      <alignment horizontal="center" vertical="center" wrapText="1"/>
    </xf>
    <xf numFmtId="10" fontId="22" fillId="0" borderId="1" xfId="53" applyNumberFormat="1" applyFont="1" applyFill="1" applyBorder="1" applyAlignment="1">
      <alignment horizontal="center" vertical="center" wrapText="1"/>
    </xf>
    <xf numFmtId="2" fontId="23" fillId="0" borderId="1" xfId="53" applyNumberFormat="1" applyFont="1" applyFill="1" applyBorder="1" applyAlignment="1">
      <alignment horizontal="center" vertical="center" wrapText="1"/>
    </xf>
    <xf numFmtId="2" fontId="22" fillId="0" borderId="1" xfId="53" applyNumberFormat="1" applyFont="1" applyFill="1" applyBorder="1" applyAlignment="1">
      <alignment horizontal="center" vertical="center" wrapText="1"/>
    </xf>
    <xf numFmtId="167" fontId="23" fillId="0" borderId="1" xfId="54" applyFont="1" applyFill="1" applyBorder="1" applyAlignment="1">
      <alignment horizontal="center" vertical="center" wrapText="1"/>
    </xf>
    <xf numFmtId="10" fontId="23" fillId="0" borderId="1" xfId="55" applyNumberFormat="1" applyFont="1" applyFill="1" applyBorder="1" applyAlignment="1" applyProtection="1">
      <alignment horizontal="center" vertical="center" wrapText="1"/>
    </xf>
    <xf numFmtId="167" fontId="22" fillId="0" borderId="1" xfId="54" applyFont="1" applyFill="1" applyBorder="1" applyAlignment="1">
      <alignment horizontal="center" vertical="center" wrapText="1"/>
    </xf>
    <xf numFmtId="10" fontId="23" fillId="0" borderId="1" xfId="55" applyNumberFormat="1" applyFont="1" applyFill="1" applyBorder="1" applyAlignment="1">
      <alignment horizontal="center" vertical="center" wrapText="1"/>
    </xf>
    <xf numFmtId="0" fontId="24" fillId="0" borderId="1" xfId="53" applyFont="1" applyFill="1" applyBorder="1" applyAlignment="1">
      <alignment horizontal="center" vertical="center" wrapText="1"/>
    </xf>
    <xf numFmtId="0" fontId="22" fillId="0" borderId="23" xfId="53" applyFont="1" applyFill="1" applyBorder="1" applyAlignment="1">
      <alignment horizontal="center" vertical="center" wrapText="1"/>
    </xf>
    <xf numFmtId="10" fontId="22" fillId="0" borderId="1" xfId="55" applyNumberFormat="1" applyFont="1" applyFill="1" applyBorder="1" applyAlignment="1" applyProtection="1">
      <alignment horizontal="center" vertical="center" wrapText="1"/>
    </xf>
    <xf numFmtId="0" fontId="23" fillId="0" borderId="0" xfId="53" applyFont="1" applyFill="1" applyBorder="1" applyAlignment="1">
      <alignment horizontal="center" vertical="center" wrapText="1"/>
    </xf>
    <xf numFmtId="0" fontId="23" fillId="0" borderId="1" xfId="53" applyFont="1" applyFill="1" applyBorder="1" applyAlignment="1">
      <alignment horizontal="center" vertical="center" wrapText="1"/>
    </xf>
    <xf numFmtId="167" fontId="22" fillId="0" borderId="1" xfId="54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166" fontId="22" fillId="0" borderId="3" xfId="53" applyNumberFormat="1" applyFont="1" applyFill="1" applyBorder="1" applyAlignment="1">
      <alignment horizontal="center" vertical="center" wrapText="1"/>
    </xf>
    <xf numFmtId="14" fontId="22" fillId="0" borderId="3" xfId="53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top" wrapText="1"/>
    </xf>
    <xf numFmtId="0" fontId="24" fillId="0" borderId="23" xfId="5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164" fontId="23" fillId="0" borderId="3" xfId="52" applyFont="1" applyFill="1" applyBorder="1" applyAlignment="1">
      <alignment horizontal="center" vertical="center" wrapText="1"/>
    </xf>
    <xf numFmtId="164" fontId="23" fillId="0" borderId="1" xfId="52" applyFont="1" applyFill="1" applyBorder="1" applyAlignment="1">
      <alignment horizontal="center" vertical="center" wrapText="1"/>
    </xf>
    <xf numFmtId="164" fontId="22" fillId="0" borderId="1" xfId="52" applyFont="1" applyFill="1" applyBorder="1" applyAlignment="1">
      <alignment horizontal="center" vertical="center" wrapText="1"/>
    </xf>
    <xf numFmtId="0" fontId="22" fillId="0" borderId="1" xfId="53" applyFont="1" applyFill="1" applyBorder="1" applyAlignment="1">
      <alignment horizontal="center" vertical="top" wrapText="1"/>
    </xf>
    <xf numFmtId="168" fontId="23" fillId="0" borderId="1" xfId="53" applyNumberFormat="1" applyFont="1" applyFill="1" applyBorder="1" applyAlignment="1">
      <alignment horizontal="center" vertical="center" wrapText="1"/>
    </xf>
    <xf numFmtId="0" fontId="25" fillId="0" borderId="1" xfId="5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7" fillId="34" borderId="24" xfId="0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vertical="center" wrapText="1"/>
    </xf>
    <xf numFmtId="0" fontId="21" fillId="0" borderId="25" xfId="0" applyFont="1" applyBorder="1" applyAlignment="1">
      <alignment horizontal="center" vertical="center" wrapText="1"/>
    </xf>
    <xf numFmtId="4" fontId="21" fillId="0" borderId="25" xfId="0" applyNumberFormat="1" applyFont="1" applyBorder="1" applyAlignment="1">
      <alignment horizontal="center" vertical="center" wrapText="1"/>
    </xf>
    <xf numFmtId="4" fontId="20" fillId="0" borderId="25" xfId="0" applyNumberFormat="1" applyFont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3" fontId="21" fillId="0" borderId="16" xfId="0" applyNumberFormat="1" applyFont="1" applyBorder="1" applyAlignment="1">
      <alignment horizontal="center" vertical="center" wrapText="1"/>
    </xf>
    <xf numFmtId="3" fontId="20" fillId="0" borderId="2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8" fillId="34" borderId="25" xfId="0" applyFont="1" applyFill="1" applyBorder="1" applyAlignment="1">
      <alignment horizontal="center" vertical="center" wrapText="1"/>
    </xf>
    <xf numFmtId="43" fontId="27" fillId="34" borderId="25" xfId="0" applyNumberFormat="1" applyFont="1" applyFill="1" applyBorder="1" applyAlignment="1">
      <alignment horizontal="center" vertical="center"/>
    </xf>
    <xf numFmtId="0" fontId="20" fillId="34" borderId="25" xfId="0" applyFont="1" applyFill="1" applyBorder="1" applyAlignment="1">
      <alignment horizontal="center" vertical="center"/>
    </xf>
    <xf numFmtId="0" fontId="29" fillId="39" borderId="25" xfId="0" applyFont="1" applyFill="1" applyBorder="1" applyAlignment="1">
      <alignment horizontal="center" vertical="center" wrapText="1"/>
    </xf>
    <xf numFmtId="10" fontId="21" fillId="39" borderId="25" xfId="1" applyNumberFormat="1" applyFont="1" applyFill="1" applyBorder="1" applyAlignment="1">
      <alignment horizontal="center" vertical="center"/>
    </xf>
    <xf numFmtId="169" fontId="30" fillId="33" borderId="25" xfId="0" applyNumberFormat="1" applyFont="1" applyFill="1" applyBorder="1" applyAlignment="1">
      <alignment horizontal="center" vertical="center"/>
    </xf>
    <xf numFmtId="0" fontId="21" fillId="0" borderId="25" xfId="0" applyFont="1" applyBorder="1" applyAlignment="1">
      <alignment vertical="center"/>
    </xf>
    <xf numFmtId="10" fontId="29" fillId="39" borderId="25" xfId="1" applyNumberFormat="1" applyFont="1" applyFill="1" applyBorder="1" applyAlignment="1">
      <alignment horizontal="center" vertical="center"/>
    </xf>
    <xf numFmtId="169" fontId="30" fillId="33" borderId="25" xfId="0" applyNumberFormat="1" applyFont="1" applyFill="1" applyBorder="1" applyAlignment="1">
      <alignment horizontal="center" vertical="center" wrapText="1"/>
    </xf>
    <xf numFmtId="10" fontId="27" fillId="34" borderId="25" xfId="1" applyNumberFormat="1" applyFont="1" applyFill="1" applyBorder="1" applyAlignment="1">
      <alignment horizontal="center" vertical="center" wrapText="1"/>
    </xf>
    <xf numFmtId="0" fontId="27" fillId="34" borderId="2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vertical="center"/>
    </xf>
    <xf numFmtId="10" fontId="21" fillId="0" borderId="1" xfId="1" applyNumberFormat="1" applyFont="1" applyBorder="1" applyAlignment="1">
      <alignment vertical="center"/>
    </xf>
    <xf numFmtId="167" fontId="23" fillId="40" borderId="1" xfId="54" applyFont="1" applyFill="1" applyBorder="1" applyAlignment="1">
      <alignment horizontal="center" vertical="center" wrapText="1"/>
    </xf>
    <xf numFmtId="10" fontId="23" fillId="40" borderId="1" xfId="55" applyNumberFormat="1" applyFont="1" applyFill="1" applyBorder="1" applyAlignment="1" applyProtection="1">
      <alignment horizontal="center" vertical="center" wrapText="1"/>
    </xf>
    <xf numFmtId="167" fontId="22" fillId="40" borderId="1" xfId="54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vertical="center" wrapText="1"/>
    </xf>
    <xf numFmtId="10" fontId="23" fillId="40" borderId="1" xfId="55" applyNumberFormat="1" applyFont="1" applyFill="1" applyBorder="1" applyAlignment="1">
      <alignment horizontal="center" vertical="center" wrapText="1"/>
    </xf>
    <xf numFmtId="164" fontId="23" fillId="40" borderId="1" xfId="52" applyFont="1" applyFill="1" applyBorder="1" applyAlignment="1">
      <alignment horizontal="center" vertical="center" wrapText="1"/>
    </xf>
    <xf numFmtId="10" fontId="22" fillId="40" borderId="1" xfId="53" applyNumberFormat="1" applyFont="1" applyFill="1" applyBorder="1" applyAlignment="1">
      <alignment horizontal="center" vertical="center" wrapText="1"/>
    </xf>
    <xf numFmtId="164" fontId="22" fillId="40" borderId="1" xfId="52" applyFont="1" applyFill="1" applyBorder="1" applyAlignment="1">
      <alignment horizontal="center" vertical="center" wrapText="1"/>
    </xf>
    <xf numFmtId="2" fontId="22" fillId="40" borderId="1" xfId="53" applyNumberFormat="1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top" wrapText="1"/>
    </xf>
    <xf numFmtId="168" fontId="23" fillId="40" borderId="1" xfId="53" applyNumberFormat="1" applyFont="1" applyFill="1" applyBorder="1" applyAlignment="1">
      <alignment horizontal="center" vertical="center" wrapText="1"/>
    </xf>
    <xf numFmtId="0" fontId="24" fillId="40" borderId="1" xfId="53" applyFont="1" applyFill="1" applyBorder="1" applyAlignment="1">
      <alignment horizontal="center" vertical="center" wrapText="1"/>
    </xf>
    <xf numFmtId="10" fontId="23" fillId="40" borderId="1" xfId="53" applyNumberFormat="1" applyFont="1" applyFill="1" applyBorder="1" applyAlignment="1">
      <alignment horizontal="center" vertical="center" wrapText="1"/>
    </xf>
    <xf numFmtId="2" fontId="23" fillId="40" borderId="1" xfId="53" applyNumberFormat="1" applyFont="1" applyFill="1" applyBorder="1" applyAlignment="1">
      <alignment horizontal="center" vertical="center" wrapText="1"/>
    </xf>
    <xf numFmtId="0" fontId="25" fillId="40" borderId="1" xfId="53" applyFont="1" applyFill="1" applyBorder="1" applyAlignment="1">
      <alignment horizontal="center" vertical="center" wrapText="1"/>
    </xf>
    <xf numFmtId="10" fontId="22" fillId="40" borderId="1" xfId="55" applyNumberFormat="1" applyFont="1" applyFill="1" applyBorder="1" applyAlignment="1" applyProtection="1">
      <alignment horizontal="center" vertical="center" wrapText="1"/>
    </xf>
    <xf numFmtId="167" fontId="22" fillId="40" borderId="1" xfId="54" applyFont="1" applyFill="1" applyBorder="1" applyAlignment="1" applyProtection="1">
      <alignment horizontal="center" vertical="center" wrapText="1"/>
    </xf>
    <xf numFmtId="0" fontId="0" fillId="33" borderId="0" xfId="0" applyFill="1" applyAlignment="1">
      <alignment horizontal="center" wrapText="1"/>
    </xf>
    <xf numFmtId="0" fontId="0" fillId="33" borderId="0" xfId="0" applyFill="1" applyAlignment="1">
      <alignment wrapText="1"/>
    </xf>
    <xf numFmtId="0" fontId="22" fillId="33" borderId="1" xfId="53" applyFont="1" applyFill="1" applyBorder="1" applyAlignment="1">
      <alignment horizontal="center" vertical="center" wrapText="1"/>
    </xf>
    <xf numFmtId="0" fontId="23" fillId="33" borderId="1" xfId="53" applyFont="1" applyFill="1" applyBorder="1" applyAlignment="1">
      <alignment horizontal="center" vertical="center" wrapText="1"/>
    </xf>
    <xf numFmtId="167" fontId="23" fillId="33" borderId="1" xfId="54" applyFont="1" applyFill="1" applyBorder="1" applyAlignment="1">
      <alignment horizontal="center" vertical="center" wrapText="1"/>
    </xf>
    <xf numFmtId="10" fontId="23" fillId="33" borderId="1" xfId="55" applyNumberFormat="1" applyFont="1" applyFill="1" applyBorder="1" applyAlignment="1" applyProtection="1">
      <alignment horizontal="center" vertical="center" wrapText="1"/>
    </xf>
    <xf numFmtId="167" fontId="22" fillId="33" borderId="1" xfId="54" applyFont="1" applyFill="1" applyBorder="1" applyAlignment="1">
      <alignment horizontal="center" vertical="center" wrapText="1"/>
    </xf>
    <xf numFmtId="0" fontId="22" fillId="33" borderId="1" xfId="53" applyFont="1" applyFill="1" applyBorder="1" applyAlignment="1">
      <alignment vertical="center" wrapText="1"/>
    </xf>
    <xf numFmtId="10" fontId="23" fillId="33" borderId="1" xfId="55" applyNumberFormat="1" applyFont="1" applyFill="1" applyBorder="1" applyAlignment="1">
      <alignment horizontal="center" vertical="center" wrapText="1"/>
    </xf>
    <xf numFmtId="164" fontId="23" fillId="33" borderId="1" xfId="52" applyFont="1" applyFill="1" applyBorder="1" applyAlignment="1">
      <alignment horizontal="center" vertical="center" wrapText="1"/>
    </xf>
    <xf numFmtId="10" fontId="22" fillId="33" borderId="1" xfId="53" applyNumberFormat="1" applyFont="1" applyFill="1" applyBorder="1" applyAlignment="1">
      <alignment horizontal="center" vertical="center" wrapText="1"/>
    </xf>
    <xf numFmtId="164" fontId="22" fillId="33" borderId="1" xfId="52" applyFont="1" applyFill="1" applyBorder="1" applyAlignment="1">
      <alignment horizontal="center" vertical="center" wrapText="1"/>
    </xf>
    <xf numFmtId="2" fontId="22" fillId="33" borderId="1" xfId="53" applyNumberFormat="1" applyFont="1" applyFill="1" applyBorder="1" applyAlignment="1">
      <alignment horizontal="center" vertical="center" wrapText="1"/>
    </xf>
    <xf numFmtId="0" fontId="22" fillId="33" borderId="1" xfId="53" applyFont="1" applyFill="1" applyBorder="1" applyAlignment="1">
      <alignment horizontal="center" vertical="top" wrapText="1"/>
    </xf>
    <xf numFmtId="0" fontId="24" fillId="33" borderId="1" xfId="53" applyFont="1" applyFill="1" applyBorder="1" applyAlignment="1">
      <alignment horizontal="center" vertical="center" wrapText="1"/>
    </xf>
    <xf numFmtId="10" fontId="23" fillId="33" borderId="1" xfId="53" applyNumberFormat="1" applyFont="1" applyFill="1" applyBorder="1" applyAlignment="1">
      <alignment horizontal="center" vertical="center" wrapText="1"/>
    </xf>
    <xf numFmtId="2" fontId="23" fillId="33" borderId="1" xfId="53" applyNumberFormat="1" applyFont="1" applyFill="1" applyBorder="1" applyAlignment="1">
      <alignment horizontal="center" vertical="center" wrapText="1"/>
    </xf>
    <xf numFmtId="0" fontId="25" fillId="33" borderId="1" xfId="53" applyFont="1" applyFill="1" applyBorder="1" applyAlignment="1">
      <alignment horizontal="center" vertical="center" wrapText="1"/>
    </xf>
    <xf numFmtId="10" fontId="22" fillId="33" borderId="1" xfId="55" applyNumberFormat="1" applyFont="1" applyFill="1" applyBorder="1" applyAlignment="1" applyProtection="1">
      <alignment horizontal="center" vertical="center" wrapText="1"/>
    </xf>
    <xf numFmtId="167" fontId="22" fillId="33" borderId="1" xfId="54" applyFont="1" applyFill="1" applyBorder="1" applyAlignment="1" applyProtection="1">
      <alignment horizontal="center" vertical="center" wrapText="1"/>
    </xf>
    <xf numFmtId="0" fontId="21" fillId="0" borderId="25" xfId="0" quotePrefix="1" applyFont="1" applyBorder="1" applyAlignment="1">
      <alignment horizontal="center" vertical="center" wrapText="1"/>
    </xf>
    <xf numFmtId="0" fontId="27" fillId="34" borderId="30" xfId="0" applyFont="1" applyFill="1" applyBorder="1" applyAlignment="1">
      <alignment horizontal="center" vertical="center"/>
    </xf>
    <xf numFmtId="0" fontId="20" fillId="34" borderId="26" xfId="0" applyFont="1" applyFill="1" applyBorder="1" applyAlignment="1">
      <alignment horizontal="center" vertical="center"/>
    </xf>
    <xf numFmtId="0" fontId="21" fillId="0" borderId="16" xfId="0" quotePrefix="1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0" fontId="26" fillId="0" borderId="32" xfId="0" applyFont="1" applyBorder="1" applyAlignment="1">
      <alignment horizontal="left" vertical="center"/>
    </xf>
    <xf numFmtId="0" fontId="20" fillId="0" borderId="34" xfId="0" applyFont="1" applyBorder="1" applyAlignment="1">
      <alignment vertical="center"/>
    </xf>
    <xf numFmtId="0" fontId="20" fillId="0" borderId="36" xfId="0" applyFont="1" applyBorder="1" applyAlignment="1">
      <alignment vertical="center"/>
    </xf>
    <xf numFmtId="0" fontId="26" fillId="0" borderId="37" xfId="0" applyFont="1" applyBorder="1" applyAlignment="1">
      <alignment horizontal="left" vertical="center"/>
    </xf>
    <xf numFmtId="0" fontId="20" fillId="0" borderId="31" xfId="0" quotePrefix="1" applyFont="1" applyBorder="1" applyAlignment="1">
      <alignment vertical="center"/>
    </xf>
    <xf numFmtId="0" fontId="20" fillId="0" borderId="34" xfId="0" quotePrefix="1" applyFont="1" applyBorder="1" applyAlignment="1">
      <alignment vertical="center"/>
    </xf>
    <xf numFmtId="0" fontId="0" fillId="0" borderId="3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164" fontId="21" fillId="0" borderId="16" xfId="52" applyFont="1" applyBorder="1" applyAlignment="1">
      <alignment horizontal="center" vertical="center" wrapText="1"/>
    </xf>
    <xf numFmtId="0" fontId="27" fillId="41" borderId="24" xfId="0" applyFont="1" applyFill="1" applyBorder="1" applyAlignment="1">
      <alignment horizontal="center" vertical="center"/>
    </xf>
    <xf numFmtId="0" fontId="27" fillId="42" borderId="24" xfId="0" applyFont="1" applyFill="1" applyBorder="1" applyAlignment="1">
      <alignment horizontal="center" vertical="center"/>
    </xf>
    <xf numFmtId="0" fontId="21" fillId="42" borderId="25" xfId="0" applyFont="1" applyFill="1" applyBorder="1" applyAlignment="1">
      <alignment horizontal="center" vertical="center" wrapText="1"/>
    </xf>
    <xf numFmtId="164" fontId="21" fillId="42" borderId="16" xfId="52" applyFont="1" applyFill="1" applyBorder="1" applyAlignment="1">
      <alignment horizontal="center" vertical="center" wrapText="1"/>
    </xf>
    <xf numFmtId="0" fontId="21" fillId="43" borderId="25" xfId="0" applyFont="1" applyFill="1" applyBorder="1" applyAlignment="1">
      <alignment horizontal="center" vertical="center" wrapText="1"/>
    </xf>
    <xf numFmtId="164" fontId="21" fillId="43" borderId="16" xfId="52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32" xfId="0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168" fontId="33" fillId="0" borderId="0" xfId="56" applyNumberFormat="1" applyFont="1" applyAlignment="1">
      <alignment horizontal="center" vertical="center"/>
    </xf>
    <xf numFmtId="0" fontId="34" fillId="44" borderId="1" xfId="0" applyFont="1" applyFill="1" applyBorder="1" applyAlignment="1">
      <alignment horizontal="center" vertical="center" wrapText="1"/>
    </xf>
    <xf numFmtId="168" fontId="34" fillId="44" borderId="1" xfId="56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168" fontId="35" fillId="0" borderId="0" xfId="56" applyNumberFormat="1" applyFont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20" fillId="0" borderId="25" xfId="52" applyFont="1" applyBorder="1" applyAlignment="1">
      <alignment horizontal="center" vertical="center" wrapText="1"/>
    </xf>
    <xf numFmtId="164" fontId="25" fillId="40" borderId="1" xfId="52" applyFont="1" applyFill="1" applyBorder="1" applyAlignment="1">
      <alignment horizontal="center" vertical="center" wrapText="1"/>
    </xf>
    <xf numFmtId="0" fontId="29" fillId="39" borderId="25" xfId="0" applyFont="1" applyFill="1" applyBorder="1" applyAlignment="1">
      <alignment vertical="center" wrapText="1"/>
    </xf>
    <xf numFmtId="43" fontId="27" fillId="34" borderId="25" xfId="0" applyNumberFormat="1" applyFont="1" applyFill="1" applyBorder="1" applyAlignment="1">
      <alignment vertical="center" wrapText="1"/>
    </xf>
    <xf numFmtId="0" fontId="27" fillId="34" borderId="25" xfId="0" applyFont="1" applyFill="1" applyBorder="1" applyAlignment="1">
      <alignment vertical="center" wrapText="1"/>
    </xf>
    <xf numFmtId="0" fontId="27" fillId="39" borderId="0" xfId="0" applyFont="1" applyFill="1" applyBorder="1" applyAlignment="1">
      <alignment vertical="center" wrapText="1"/>
    </xf>
    <xf numFmtId="0" fontId="20" fillId="34" borderId="27" xfId="0" applyFont="1" applyFill="1" applyBorder="1" applyAlignment="1">
      <alignment vertical="center"/>
    </xf>
    <xf numFmtId="0" fontId="20" fillId="34" borderId="28" xfId="0" applyFont="1" applyFill="1" applyBorder="1" applyAlignment="1">
      <alignment vertical="center"/>
    </xf>
    <xf numFmtId="0" fontId="27" fillId="34" borderId="16" xfId="0" applyFont="1" applyFill="1" applyBorder="1" applyAlignment="1">
      <alignment horizontal="center" vertical="center" wrapText="1"/>
    </xf>
    <xf numFmtId="0" fontId="27" fillId="39" borderId="0" xfId="0" applyFont="1" applyFill="1" applyBorder="1" applyAlignment="1">
      <alignment horizontal="left" vertical="center"/>
    </xf>
    <xf numFmtId="0" fontId="21" fillId="0" borderId="17" xfId="0" applyFont="1" applyBorder="1" applyAlignment="1">
      <alignment horizontal="center" vertical="center" wrapText="1"/>
    </xf>
    <xf numFmtId="164" fontId="21" fillId="0" borderId="43" xfId="52" applyFont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2" fillId="38" borderId="1" xfId="53" applyFont="1" applyFill="1" applyBorder="1" applyAlignment="1">
      <alignment horizontal="center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center" wrapText="1"/>
    </xf>
    <xf numFmtId="0" fontId="23" fillId="40" borderId="1" xfId="53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0" fillId="0" borderId="16" xfId="0" applyNumberFormat="1" applyFont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/>
    </xf>
    <xf numFmtId="164" fontId="0" fillId="0" borderId="0" xfId="52" applyFont="1" applyAlignment="1">
      <alignment horizontal="center" wrapText="1"/>
    </xf>
    <xf numFmtId="164" fontId="0" fillId="33" borderId="0" xfId="52" applyFont="1" applyFill="1" applyAlignment="1">
      <alignment horizontal="center" wrapText="1"/>
    </xf>
    <xf numFmtId="164" fontId="0" fillId="33" borderId="0" xfId="52" applyFont="1" applyFill="1" applyAlignment="1">
      <alignment wrapText="1"/>
    </xf>
    <xf numFmtId="164" fontId="0" fillId="33" borderId="0" xfId="0" applyNumberFormat="1" applyFill="1" applyAlignment="1">
      <alignment horizontal="center" wrapText="1"/>
    </xf>
    <xf numFmtId="43" fontId="0" fillId="0" borderId="0" xfId="0" applyNumberFormat="1" applyAlignment="1">
      <alignment wrapText="1"/>
    </xf>
    <xf numFmtId="10" fontId="21" fillId="0" borderId="0" xfId="1" applyNumberFormat="1" applyFont="1" applyAlignment="1">
      <alignment vertical="center"/>
    </xf>
    <xf numFmtId="164" fontId="22" fillId="40" borderId="1" xfId="53" applyNumberFormat="1" applyFont="1" applyFill="1" applyBorder="1" applyAlignment="1">
      <alignment vertical="center" wrapText="1"/>
    </xf>
    <xf numFmtId="43" fontId="22" fillId="40" borderId="1" xfId="53" applyNumberFormat="1" applyFont="1" applyFill="1" applyBorder="1" applyAlignment="1">
      <alignment horizontal="center" vertical="center" wrapText="1"/>
    </xf>
    <xf numFmtId="166" fontId="22" fillId="40" borderId="1" xfId="53" applyNumberFormat="1" applyFont="1" applyFill="1" applyBorder="1" applyAlignment="1">
      <alignment horizontal="center" vertical="center" wrapText="1"/>
    </xf>
    <xf numFmtId="164" fontId="22" fillId="40" borderId="1" xfId="52" applyFont="1" applyFill="1" applyBorder="1" applyAlignment="1">
      <alignment vertical="center" wrapText="1"/>
    </xf>
    <xf numFmtId="166" fontId="0" fillId="0" borderId="0" xfId="0" applyNumberFormat="1" applyAlignment="1">
      <alignment wrapText="1"/>
    </xf>
    <xf numFmtId="166" fontId="0" fillId="33" borderId="0" xfId="0" applyNumberFormat="1" applyFill="1" applyAlignment="1">
      <alignment wrapText="1"/>
    </xf>
    <xf numFmtId="166" fontId="0" fillId="33" borderId="0" xfId="0" applyNumberFormat="1" applyFill="1" applyAlignment="1">
      <alignment horizontal="center" wrapText="1"/>
    </xf>
    <xf numFmtId="17" fontId="0" fillId="33" borderId="0" xfId="0" applyNumberFormat="1" applyFill="1" applyAlignment="1">
      <alignment horizontal="center" wrapText="1"/>
    </xf>
    <xf numFmtId="43" fontId="0" fillId="33" borderId="0" xfId="56" applyFont="1" applyFill="1" applyAlignment="1">
      <alignment wrapText="1"/>
    </xf>
    <xf numFmtId="170" fontId="0" fillId="33" borderId="0" xfId="0" applyNumberFormat="1" applyFill="1" applyAlignment="1">
      <alignment wrapText="1"/>
    </xf>
    <xf numFmtId="43" fontId="0" fillId="33" borderId="0" xfId="0" applyNumberFormat="1" applyFill="1" applyAlignment="1">
      <alignment horizontal="center" wrapText="1"/>
    </xf>
    <xf numFmtId="10" fontId="0" fillId="0" borderId="0" xfId="0" applyNumberFormat="1" applyAlignment="1">
      <alignment wrapText="1"/>
    </xf>
    <xf numFmtId="10" fontId="23" fillId="0" borderId="3" xfId="53" applyNumberFormat="1" applyFont="1" applyFill="1" applyBorder="1" applyAlignment="1">
      <alignment horizontal="center" vertical="center" wrapText="1"/>
    </xf>
    <xf numFmtId="10" fontId="21" fillId="0" borderId="25" xfId="1" applyNumberFormat="1" applyFont="1" applyFill="1" applyBorder="1" applyAlignment="1">
      <alignment horizontal="center" vertical="center"/>
    </xf>
    <xf numFmtId="169" fontId="30" fillId="0" borderId="25" xfId="0" quotePrefix="1" applyNumberFormat="1" applyFont="1" applyFill="1" applyBorder="1" applyAlignment="1">
      <alignment horizontal="center" vertical="center"/>
    </xf>
    <xf numFmtId="0" fontId="21" fillId="0" borderId="25" xfId="0" quotePrefix="1" applyFont="1" applyFill="1" applyBorder="1" applyAlignment="1">
      <alignment horizontal="center" vertical="center"/>
    </xf>
    <xf numFmtId="0" fontId="22" fillId="0" borderId="1" xfId="53" applyFont="1" applyBorder="1" applyAlignment="1">
      <alignment horizontal="center" vertical="center" wrapText="1"/>
    </xf>
    <xf numFmtId="43" fontId="23" fillId="40" borderId="1" xfId="56" applyFont="1" applyFill="1" applyBorder="1" applyAlignment="1">
      <alignment horizontal="center" vertical="center" wrapText="1"/>
    </xf>
    <xf numFmtId="43" fontId="23" fillId="0" borderId="1" xfId="56" applyFont="1" applyFill="1" applyBorder="1" applyAlignment="1">
      <alignment horizontal="center" vertical="center" wrapText="1"/>
    </xf>
    <xf numFmtId="43" fontId="22" fillId="0" borderId="1" xfId="56" applyFont="1" applyFill="1" applyBorder="1" applyAlignment="1">
      <alignment horizontal="center" vertical="center" wrapText="1"/>
    </xf>
    <xf numFmtId="43" fontId="22" fillId="40" borderId="1" xfId="56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7" fillId="46" borderId="25" xfId="0" applyFont="1" applyFill="1" applyBorder="1" applyAlignment="1">
      <alignment horizontal="center" vertical="center" wrapText="1"/>
    </xf>
    <xf numFmtId="2" fontId="27" fillId="34" borderId="25" xfId="0" applyNumberFormat="1" applyFont="1" applyFill="1" applyBorder="1" applyAlignment="1">
      <alignment horizontal="center" vertical="center" wrapText="1"/>
    </xf>
    <xf numFmtId="2" fontId="29" fillId="39" borderId="25" xfId="56" applyNumberFormat="1" applyFont="1" applyFill="1" applyBorder="1" applyAlignment="1">
      <alignment horizontal="center" vertical="center"/>
    </xf>
    <xf numFmtId="2" fontId="27" fillId="46" borderId="25" xfId="56" applyNumberFormat="1" applyFont="1" applyFill="1" applyBorder="1" applyAlignment="1">
      <alignment horizontal="center" vertical="center"/>
    </xf>
    <xf numFmtId="0" fontId="21" fillId="33" borderId="25" xfId="0" applyFont="1" applyFill="1" applyBorder="1" applyAlignment="1">
      <alignment horizontal="center" vertical="center"/>
    </xf>
    <xf numFmtId="9" fontId="23" fillId="0" borderId="3" xfId="1" applyFont="1" applyFill="1" applyBorder="1" applyAlignment="1">
      <alignment horizontal="center" vertical="center" wrapText="1"/>
    </xf>
    <xf numFmtId="164" fontId="22" fillId="40" borderId="1" xfId="53" applyNumberFormat="1" applyFont="1" applyFill="1" applyBorder="1" applyAlignment="1">
      <alignment horizontal="center" vertical="center" wrapText="1"/>
    </xf>
    <xf numFmtId="9" fontId="22" fillId="0" borderId="3" xfId="1" applyFont="1" applyFill="1" applyBorder="1" applyAlignment="1">
      <alignment horizontal="center" vertical="center" wrapText="1"/>
    </xf>
    <xf numFmtId="164" fontId="22" fillId="0" borderId="1" xfId="53" applyNumberFormat="1" applyFont="1" applyFill="1" applyBorder="1" applyAlignment="1">
      <alignment horizontal="center" vertical="center" wrapText="1"/>
    </xf>
    <xf numFmtId="164" fontId="22" fillId="43" borderId="1" xfId="53" applyNumberFormat="1" applyFont="1" applyFill="1" applyBorder="1" applyAlignment="1">
      <alignment horizontal="center" vertical="center" wrapText="1"/>
    </xf>
    <xf numFmtId="164" fontId="22" fillId="43" borderId="1" xfId="52" applyFont="1" applyFill="1" applyBorder="1" applyAlignment="1">
      <alignment horizontal="center" vertical="center" wrapText="1"/>
    </xf>
    <xf numFmtId="164" fontId="23" fillId="43" borderId="1" xfId="52" applyFont="1" applyFill="1" applyBorder="1" applyAlignment="1">
      <alignment horizontal="center" vertical="center" wrapText="1"/>
    </xf>
    <xf numFmtId="43" fontId="23" fillId="43" borderId="3" xfId="1" applyNumberFormat="1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40" borderId="1" xfId="53" applyFont="1" applyFill="1" applyBorder="1" applyAlignment="1">
      <alignment horizontal="center" vertical="center" wrapText="1"/>
    </xf>
    <xf numFmtId="0" fontId="23" fillId="40" borderId="1" xfId="53" applyFont="1" applyFill="1" applyBorder="1" applyAlignment="1">
      <alignment horizontal="center" vertical="center" wrapText="1"/>
    </xf>
    <xf numFmtId="164" fontId="21" fillId="0" borderId="16" xfId="52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vertical="center" wrapText="1"/>
    </xf>
    <xf numFmtId="0" fontId="0" fillId="0" borderId="0" xfId="0" applyFill="1" applyAlignment="1">
      <alignment wrapText="1"/>
    </xf>
    <xf numFmtId="164" fontId="25" fillId="0" borderId="1" xfId="52" applyFont="1" applyFill="1" applyBorder="1" applyAlignment="1">
      <alignment horizontal="center" vertical="center" wrapText="1"/>
    </xf>
    <xf numFmtId="0" fontId="22" fillId="43" borderId="1" xfId="53" applyFont="1" applyFill="1" applyBorder="1" applyAlignment="1">
      <alignment horizontal="center" vertical="center" wrapText="1"/>
    </xf>
    <xf numFmtId="164" fontId="37" fillId="43" borderId="16" xfId="52" applyFont="1" applyFill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9" fontId="29" fillId="39" borderId="25" xfId="52" applyNumberFormat="1" applyFont="1" applyFill="1" applyBorder="1" applyAlignment="1">
      <alignment horizontal="center" vertical="center"/>
    </xf>
    <xf numFmtId="10" fontId="0" fillId="0" borderId="0" xfId="1" applyNumberFormat="1" applyFont="1" applyAlignment="1">
      <alignment wrapText="1"/>
    </xf>
    <xf numFmtId="0" fontId="34" fillId="44" borderId="42" xfId="0" applyFont="1" applyFill="1" applyBorder="1" applyAlignment="1">
      <alignment horizontal="center" vertical="center" wrapText="1"/>
    </xf>
    <xf numFmtId="0" fontId="34" fillId="44" borderId="29" xfId="0" applyFont="1" applyFill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40" xfId="0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0" fontId="34" fillId="44" borderId="39" xfId="0" applyFont="1" applyFill="1" applyBorder="1" applyAlignment="1">
      <alignment horizontal="center" vertical="center" wrapText="1"/>
    </xf>
    <xf numFmtId="0" fontId="34" fillId="44" borderId="41" xfId="0" applyFont="1" applyFill="1" applyBorder="1" applyAlignment="1">
      <alignment horizontal="center" vertical="center" wrapText="1"/>
    </xf>
    <xf numFmtId="0" fontId="22" fillId="0" borderId="1" xfId="53" applyFont="1" applyFill="1" applyBorder="1" applyAlignment="1">
      <alignment horizontal="left" vertical="center" wrapText="1"/>
    </xf>
    <xf numFmtId="0" fontId="22" fillId="45" borderId="1" xfId="53" applyFont="1" applyFill="1" applyBorder="1" applyAlignment="1">
      <alignment horizontal="center" vertical="center" wrapText="1"/>
    </xf>
    <xf numFmtId="0" fontId="22" fillId="0" borderId="1" xfId="53" applyFont="1" applyBorder="1" applyAlignment="1">
      <alignment horizontal="center" vertical="center" wrapText="1"/>
    </xf>
    <xf numFmtId="0" fontId="23" fillId="0" borderId="3" xfId="53" applyFont="1" applyBorder="1" applyAlignment="1">
      <alignment horizontal="left" vertical="center" wrapText="1"/>
    </xf>
    <xf numFmtId="0" fontId="23" fillId="0" borderId="23" xfId="53" applyFont="1" applyBorder="1" applyAlignment="1">
      <alignment horizontal="left" vertical="center" wrapText="1"/>
    </xf>
    <xf numFmtId="0" fontId="23" fillId="0" borderId="22" xfId="53" applyFont="1" applyBorder="1" applyAlignment="1">
      <alignment horizontal="left" vertical="center" wrapText="1"/>
    </xf>
    <xf numFmtId="0" fontId="23" fillId="0" borderId="1" xfId="53" applyFont="1" applyBorder="1" applyAlignment="1">
      <alignment horizontal="left" vertical="center" wrapText="1"/>
    </xf>
    <xf numFmtId="0" fontId="22" fillId="36" borderId="1" xfId="53" applyFont="1" applyFill="1" applyBorder="1" applyAlignment="1">
      <alignment horizontal="center" vertical="top" wrapText="1"/>
    </xf>
    <xf numFmtId="0" fontId="22" fillId="36" borderId="3" xfId="53" applyFont="1" applyFill="1" applyBorder="1" applyAlignment="1">
      <alignment horizontal="center" vertical="top" wrapText="1"/>
    </xf>
    <xf numFmtId="0" fontId="22" fillId="37" borderId="1" xfId="53" applyFont="1" applyFill="1" applyBorder="1" applyAlignment="1">
      <alignment horizontal="center" vertical="center" wrapText="1"/>
    </xf>
    <xf numFmtId="0" fontId="22" fillId="37" borderId="3" xfId="53" applyFont="1" applyFill="1" applyBorder="1" applyAlignment="1">
      <alignment horizontal="center" vertical="center" wrapText="1"/>
    </xf>
    <xf numFmtId="0" fontId="23" fillId="38" borderId="1" xfId="53" applyFont="1" applyFill="1" applyBorder="1" applyAlignment="1">
      <alignment horizontal="left" vertical="center" wrapText="1"/>
    </xf>
    <xf numFmtId="0" fontId="23" fillId="38" borderId="3" xfId="53" applyFont="1" applyFill="1" applyBorder="1" applyAlignment="1">
      <alignment horizontal="left" vertical="center" wrapText="1"/>
    </xf>
    <xf numFmtId="0" fontId="22" fillId="0" borderId="1" xfId="53" applyFont="1" applyBorder="1" applyAlignment="1">
      <alignment horizontal="left" vertical="center" wrapText="1"/>
    </xf>
    <xf numFmtId="0" fontId="22" fillId="0" borderId="3" xfId="53" applyFont="1" applyBorder="1" applyAlignment="1">
      <alignment horizontal="left" vertical="center" wrapText="1"/>
    </xf>
    <xf numFmtId="0" fontId="23" fillId="33" borderId="3" xfId="53" applyFont="1" applyFill="1" applyBorder="1" applyAlignment="1">
      <alignment horizontal="left" vertical="center" wrapText="1"/>
    </xf>
    <xf numFmtId="0" fontId="23" fillId="33" borderId="23" xfId="53" applyFont="1" applyFill="1" applyBorder="1" applyAlignment="1">
      <alignment horizontal="left" vertical="center" wrapText="1"/>
    </xf>
    <xf numFmtId="0" fontId="23" fillId="33" borderId="22" xfId="53" applyFont="1" applyFill="1" applyBorder="1" applyAlignment="1">
      <alignment horizontal="left" vertical="center" wrapText="1"/>
    </xf>
    <xf numFmtId="0" fontId="23" fillId="33" borderId="1" xfId="53" applyFont="1" applyFill="1" applyBorder="1" applyAlignment="1">
      <alignment horizontal="left" vertical="center" wrapText="1"/>
    </xf>
    <xf numFmtId="14" fontId="23" fillId="0" borderId="3" xfId="53" applyNumberFormat="1" applyFont="1" applyFill="1" applyBorder="1" applyAlignment="1">
      <alignment horizontal="center" vertical="center" wrapText="1"/>
    </xf>
    <xf numFmtId="14" fontId="23" fillId="0" borderId="22" xfId="53" applyNumberFormat="1" applyFont="1" applyFill="1" applyBorder="1" applyAlignment="1">
      <alignment horizontal="center" vertical="center" wrapText="1"/>
    </xf>
    <xf numFmtId="0" fontId="23" fillId="0" borderId="3" xfId="53" applyFont="1" applyFill="1" applyBorder="1" applyAlignment="1">
      <alignment horizontal="center" vertical="center" wrapText="1"/>
    </xf>
    <xf numFmtId="0" fontId="23" fillId="0" borderId="22" xfId="53" applyFont="1" applyFill="1" applyBorder="1" applyAlignment="1">
      <alignment horizontal="center" vertical="center" wrapText="1"/>
    </xf>
    <xf numFmtId="0" fontId="22" fillId="0" borderId="3" xfId="53" applyFont="1" applyFill="1" applyBorder="1" applyAlignment="1">
      <alignment horizontal="center" vertical="center" wrapText="1"/>
    </xf>
    <xf numFmtId="0" fontId="22" fillId="0" borderId="22" xfId="53" applyFont="1" applyFill="1" applyBorder="1" applyAlignment="1">
      <alignment horizontal="center" vertical="center" wrapText="1"/>
    </xf>
    <xf numFmtId="166" fontId="23" fillId="40" borderId="3" xfId="53" applyNumberFormat="1" applyFont="1" applyFill="1" applyBorder="1" applyAlignment="1">
      <alignment horizontal="center" vertical="center" wrapText="1"/>
    </xf>
    <xf numFmtId="166" fontId="23" fillId="40" borderId="22" xfId="53" applyNumberFormat="1" applyFont="1" applyFill="1" applyBorder="1" applyAlignment="1">
      <alignment horizontal="center" vertical="center" wrapText="1"/>
    </xf>
    <xf numFmtId="0" fontId="22" fillId="40" borderId="3" xfId="53" applyFont="1" applyFill="1" applyBorder="1" applyAlignment="1">
      <alignment horizontal="center" vertical="center" wrapText="1"/>
    </xf>
    <xf numFmtId="0" fontId="22" fillId="40" borderId="22" xfId="53" applyFont="1" applyFill="1" applyBorder="1" applyAlignment="1">
      <alignment horizontal="center" vertical="center" wrapText="1"/>
    </xf>
    <xf numFmtId="0" fontId="23" fillId="40" borderId="3" xfId="53" applyFont="1" applyFill="1" applyBorder="1" applyAlignment="1">
      <alignment horizontal="center" vertical="center" wrapText="1"/>
    </xf>
    <xf numFmtId="0" fontId="23" fillId="40" borderId="22" xfId="53" applyFont="1" applyFill="1" applyBorder="1" applyAlignment="1">
      <alignment horizontal="center" vertical="center" wrapText="1"/>
    </xf>
    <xf numFmtId="14" fontId="23" fillId="40" borderId="3" xfId="53" applyNumberFormat="1" applyFont="1" applyFill="1" applyBorder="1" applyAlignment="1">
      <alignment horizontal="center" vertical="center" wrapText="1"/>
    </xf>
    <xf numFmtId="14" fontId="23" fillId="40" borderId="22" xfId="53" applyNumberFormat="1" applyFont="1" applyFill="1" applyBorder="1" applyAlignment="1">
      <alignment horizontal="center" vertical="center" wrapText="1"/>
    </xf>
    <xf numFmtId="14" fontId="23" fillId="33" borderId="3" xfId="53" applyNumberFormat="1" applyFont="1" applyFill="1" applyBorder="1" applyAlignment="1">
      <alignment horizontal="center" vertical="center" wrapText="1"/>
    </xf>
    <xf numFmtId="14" fontId="23" fillId="33" borderId="22" xfId="53" applyNumberFormat="1" applyFont="1" applyFill="1" applyBorder="1" applyAlignment="1">
      <alignment horizontal="center" vertical="center" wrapText="1"/>
    </xf>
    <xf numFmtId="166" fontId="23" fillId="33" borderId="3" xfId="53" applyNumberFormat="1" applyFont="1" applyFill="1" applyBorder="1" applyAlignment="1">
      <alignment horizontal="center" vertical="center" wrapText="1"/>
    </xf>
    <xf numFmtId="166" fontId="23" fillId="33" borderId="22" xfId="53" applyNumberFormat="1" applyFont="1" applyFill="1" applyBorder="1" applyAlignment="1">
      <alignment horizontal="center" vertical="center" wrapText="1"/>
    </xf>
    <xf numFmtId="0" fontId="22" fillId="33" borderId="3" xfId="53" applyFont="1" applyFill="1" applyBorder="1" applyAlignment="1">
      <alignment horizontal="center" vertical="center" wrapText="1"/>
    </xf>
    <xf numFmtId="0" fontId="22" fillId="33" borderId="22" xfId="53" applyFont="1" applyFill="1" applyBorder="1" applyAlignment="1">
      <alignment horizontal="center" vertical="center" wrapText="1"/>
    </xf>
    <xf numFmtId="0" fontId="23" fillId="33" borderId="3" xfId="53" applyFont="1" applyFill="1" applyBorder="1" applyAlignment="1">
      <alignment horizontal="center" vertical="center" wrapText="1"/>
    </xf>
    <xf numFmtId="0" fontId="23" fillId="33" borderId="22" xfId="53" applyFont="1" applyFill="1" applyBorder="1" applyAlignment="1">
      <alignment horizontal="center" vertical="center" wrapText="1"/>
    </xf>
    <xf numFmtId="0" fontId="22" fillId="0" borderId="23" xfId="53" applyFont="1" applyBorder="1" applyAlignment="1">
      <alignment horizontal="left" vertical="center" wrapText="1"/>
    </xf>
    <xf numFmtId="0" fontId="22" fillId="37" borderId="19" xfId="53" applyFont="1" applyFill="1" applyBorder="1" applyAlignment="1">
      <alignment horizontal="center" vertical="center" wrapText="1"/>
    </xf>
    <xf numFmtId="0" fontId="22" fillId="37" borderId="20" xfId="53" applyFont="1" applyFill="1" applyBorder="1" applyAlignment="1">
      <alignment horizontal="center" vertical="center" wrapText="1"/>
    </xf>
    <xf numFmtId="0" fontId="22" fillId="38" borderId="3" xfId="53" applyFont="1" applyFill="1" applyBorder="1" applyAlignment="1">
      <alignment horizontal="center" vertical="center" wrapText="1"/>
    </xf>
    <xf numFmtId="0" fontId="22" fillId="38" borderId="23" xfId="53" applyFont="1" applyFill="1" applyBorder="1" applyAlignment="1">
      <alignment horizontal="center" vertical="center" wrapText="1"/>
    </xf>
    <xf numFmtId="0" fontId="24" fillId="38" borderId="3" xfId="53" applyFont="1" applyFill="1" applyBorder="1" applyAlignment="1">
      <alignment horizontal="center" vertical="center" wrapText="1"/>
    </xf>
    <xf numFmtId="0" fontId="24" fillId="38" borderId="23" xfId="53" applyFont="1" applyFill="1" applyBorder="1" applyAlignment="1">
      <alignment horizontal="center" vertical="center" wrapText="1"/>
    </xf>
    <xf numFmtId="0" fontId="22" fillId="35" borderId="3" xfId="53" applyFont="1" applyFill="1" applyBorder="1" applyAlignment="1">
      <alignment horizontal="center" vertical="center" wrapText="1"/>
    </xf>
    <xf numFmtId="0" fontId="22" fillId="35" borderId="23" xfId="53" applyFont="1" applyFill="1" applyBorder="1" applyAlignment="1">
      <alignment horizontal="center" vertical="center" wrapText="1"/>
    </xf>
    <xf numFmtId="0" fontId="22" fillId="38" borderId="1" xfId="53" applyFont="1" applyFill="1" applyBorder="1" applyAlignment="1">
      <alignment horizontal="center" vertical="center" wrapText="1"/>
    </xf>
    <xf numFmtId="0" fontId="25" fillId="33" borderId="1" xfId="53" applyFont="1" applyFill="1" applyBorder="1" applyAlignment="1">
      <alignment horizontal="left" vertical="center" wrapText="1"/>
    </xf>
    <xf numFmtId="0" fontId="25" fillId="33" borderId="3" xfId="53" applyFont="1" applyFill="1" applyBorder="1" applyAlignment="1">
      <alignment horizontal="left" vertical="center" wrapText="1"/>
    </xf>
    <xf numFmtId="0" fontId="22" fillId="35" borderId="21" xfId="53" applyFont="1" applyFill="1" applyBorder="1" applyAlignment="1">
      <alignment horizontal="center" vertical="center" wrapText="1"/>
    </xf>
    <xf numFmtId="0" fontId="22" fillId="36" borderId="1" xfId="53" applyFont="1" applyFill="1" applyBorder="1" applyAlignment="1">
      <alignment horizontal="center" vertical="center" wrapText="1"/>
    </xf>
    <xf numFmtId="0" fontId="22" fillId="36" borderId="3" xfId="53" applyFont="1" applyFill="1" applyBorder="1" applyAlignment="1">
      <alignment horizontal="center" vertical="center" wrapText="1"/>
    </xf>
    <xf numFmtId="0" fontId="22" fillId="35" borderId="1" xfId="53" applyFont="1" applyFill="1" applyBorder="1" applyAlignment="1">
      <alignment horizontal="center" vertical="center" wrapText="1"/>
    </xf>
    <xf numFmtId="14" fontId="23" fillId="40" borderId="1" xfId="53" applyNumberFormat="1" applyFont="1" applyFill="1" applyBorder="1" applyAlignment="1">
      <alignment horizontal="center" vertical="center" wrapText="1"/>
    </xf>
    <xf numFmtId="0" fontId="22" fillId="0" borderId="3" xfId="53" applyFont="1" applyBorder="1" applyAlignment="1">
      <alignment horizontal="center" vertical="center" wrapText="1"/>
    </xf>
    <xf numFmtId="0" fontId="22" fillId="0" borderId="21" xfId="53" applyFont="1" applyBorder="1" applyAlignment="1">
      <alignment horizontal="center" vertical="center" wrapText="1"/>
    </xf>
    <xf numFmtId="0" fontId="22" fillId="0" borderId="23" xfId="53" applyFont="1" applyBorder="1" applyAlignment="1">
      <alignment horizontal="center" vertical="center" wrapText="1"/>
    </xf>
    <xf numFmtId="0" fontId="22" fillId="37" borderId="21" xfId="53" applyFont="1" applyFill="1" applyBorder="1" applyAlignment="1">
      <alignment horizontal="center" vertical="center" wrapText="1"/>
    </xf>
    <xf numFmtId="0" fontId="22" fillId="37" borderId="23" xfId="53" applyFont="1" applyFill="1" applyBorder="1" applyAlignment="1">
      <alignment horizontal="center" vertical="center" wrapText="1"/>
    </xf>
    <xf numFmtId="0" fontId="22" fillId="33" borderId="1" xfId="53" applyFont="1" applyFill="1" applyBorder="1" applyAlignment="1">
      <alignment horizontal="left" vertical="center" wrapText="1"/>
    </xf>
    <xf numFmtId="0" fontId="22" fillId="33" borderId="3" xfId="53" applyFont="1" applyFill="1" applyBorder="1" applyAlignment="1">
      <alignment horizontal="left" vertical="center" wrapText="1"/>
    </xf>
    <xf numFmtId="0" fontId="22" fillId="36" borderId="21" xfId="53" applyFont="1" applyFill="1" applyBorder="1" applyAlignment="1">
      <alignment horizontal="center" vertical="top" wrapText="1"/>
    </xf>
    <xf numFmtId="0" fontId="22" fillId="36" borderId="23" xfId="53" applyFont="1" applyFill="1" applyBorder="1" applyAlignment="1">
      <alignment horizontal="center" vertical="top" wrapText="1"/>
    </xf>
    <xf numFmtId="0" fontId="23" fillId="38" borderId="23" xfId="53" applyFont="1" applyFill="1" applyBorder="1" applyAlignment="1">
      <alignment horizontal="left" vertical="center" wrapText="1"/>
    </xf>
    <xf numFmtId="0" fontId="22" fillId="40" borderId="1" xfId="53" applyFont="1" applyFill="1" applyBorder="1" applyAlignment="1">
      <alignment horizontal="center" vertical="center" wrapText="1"/>
    </xf>
    <xf numFmtId="0" fontId="23" fillId="40" borderId="1" xfId="53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6" fontId="23" fillId="40" borderId="1" xfId="53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3" fillId="0" borderId="3" xfId="53" applyNumberFormat="1" applyFont="1" applyFill="1" applyBorder="1" applyAlignment="1">
      <alignment horizontal="center" vertical="center" wrapText="1"/>
    </xf>
    <xf numFmtId="166" fontId="23" fillId="0" borderId="22" xfId="53" applyNumberFormat="1" applyFont="1" applyFill="1" applyBorder="1" applyAlignment="1">
      <alignment horizontal="center" vertical="center" wrapText="1"/>
    </xf>
    <xf numFmtId="0" fontId="23" fillId="35" borderId="1" xfId="53" applyFont="1" applyFill="1" applyBorder="1" applyAlignment="1">
      <alignment horizontal="center" vertical="center" wrapText="1"/>
    </xf>
    <xf numFmtId="166" fontId="22" fillId="0" borderId="1" xfId="53" applyNumberFormat="1" applyFont="1" applyFill="1" applyBorder="1" applyAlignment="1">
      <alignment horizontal="left" vertical="center" wrapText="1"/>
    </xf>
    <xf numFmtId="14" fontId="22" fillId="0" borderId="1" xfId="53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0" fillId="0" borderId="16" xfId="0" applyNumberFormat="1" applyFont="1" applyBorder="1" applyAlignment="1">
      <alignment horizontal="center" vertical="center" wrapText="1"/>
    </xf>
    <xf numFmtId="0" fontId="20" fillId="0" borderId="25" xfId="0" applyNumberFormat="1" applyFont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/>
    </xf>
    <xf numFmtId="43" fontId="34" fillId="44" borderId="1" xfId="56" applyFont="1" applyFill="1" applyBorder="1" applyAlignment="1">
      <alignment horizontal="center" vertical="center" wrapText="1"/>
    </xf>
    <xf numFmtId="43" fontId="35" fillId="0" borderId="1" xfId="56" applyFont="1" applyBorder="1" applyAlignment="1">
      <alignment horizontal="center" vertical="center" wrapText="1"/>
    </xf>
    <xf numFmtId="43" fontId="35" fillId="0" borderId="0" xfId="56" applyFont="1" applyAlignment="1">
      <alignment horizontal="center" vertical="center" wrapText="1"/>
    </xf>
    <xf numFmtId="43" fontId="33" fillId="0" borderId="0" xfId="56" applyFont="1" applyAlignment="1">
      <alignment horizontal="center" vertical="center"/>
    </xf>
    <xf numFmtId="43" fontId="21" fillId="0" borderId="0" xfId="56" applyFont="1" applyAlignment="1">
      <alignment horizontal="center" vertical="center"/>
    </xf>
    <xf numFmtId="43" fontId="34" fillId="46" borderId="1" xfId="56" applyFont="1" applyFill="1" applyBorder="1" applyAlignment="1">
      <alignment horizontal="center" vertical="center" wrapText="1"/>
    </xf>
  </cellXfs>
  <cellStyles count="57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54" xr:uid="{70241101-97D6-4DCB-B3FD-2A5E886B19EC}"/>
    <cellStyle name="Neutro" xfId="12" builtinId="28" customBuiltin="1"/>
    <cellStyle name="Normal" xfId="0" builtinId="0"/>
    <cellStyle name="Normal 2" xfId="47" xr:uid="{00000000-0005-0000-0000-000020000000}"/>
    <cellStyle name="Normal 3" xfId="53" xr:uid="{FF004EFE-B222-4F18-BA2B-B15374588B44}"/>
    <cellStyle name="Nota" xfId="19" builtinId="10" customBuiltin="1"/>
    <cellStyle name="Porcentagem" xfId="1" builtinId="5"/>
    <cellStyle name="Porcentagem 2" xfId="55" xr:uid="{2363F0C1-0C0C-46A0-93E7-E1B2202F09DF}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6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39B8-3185-49AA-8EE2-5BC0C9070B02}">
  <dimension ref="A1:O13"/>
  <sheetViews>
    <sheetView showGridLines="0" tabSelected="1" workbookViewId="0">
      <selection activeCell="A3" sqref="A3:A12"/>
    </sheetView>
  </sheetViews>
  <sheetFormatPr defaultColWidth="9.140625" defaultRowHeight="11.25"/>
  <cols>
    <col min="1" max="1" width="5.85546875" style="130" bestFit="1" customWidth="1"/>
    <col min="2" max="2" width="4.5703125" style="130" bestFit="1" customWidth="1"/>
    <col min="3" max="3" width="7.5703125" style="130" bestFit="1" customWidth="1"/>
    <col min="4" max="4" width="9.7109375" style="130" bestFit="1" customWidth="1"/>
    <col min="5" max="5" width="15" style="130" bestFit="1" customWidth="1"/>
    <col min="6" max="6" width="7.7109375" style="130" bestFit="1" customWidth="1"/>
    <col min="7" max="7" width="55.140625" style="130" customWidth="1"/>
    <col min="8" max="8" width="11.42578125" style="313" bestFit="1" customWidth="1"/>
    <col min="9" max="9" width="10.28515625" style="130" bestFit="1" customWidth="1"/>
    <col min="10" max="10" width="12.42578125" style="313" bestFit="1" customWidth="1"/>
    <col min="11" max="11" width="9.28515625" style="130" bestFit="1" customWidth="1"/>
    <col min="12" max="12" width="11.28515625" style="130" bestFit="1" customWidth="1"/>
    <col min="13" max="13" width="12.42578125" style="313" bestFit="1" customWidth="1"/>
    <col min="14" max="14" width="10.140625" style="131" bestFit="1" customWidth="1"/>
    <col min="15" max="15" width="15" style="313" bestFit="1" customWidth="1"/>
    <col min="16" max="16384" width="9.140625" style="130"/>
  </cols>
  <sheetData>
    <row r="1" spans="1:15" ht="48">
      <c r="A1" s="220" t="s">
        <v>0</v>
      </c>
      <c r="B1" s="215" t="s">
        <v>1</v>
      </c>
      <c r="C1" s="215" t="s">
        <v>2</v>
      </c>
      <c r="D1" s="215" t="s">
        <v>3</v>
      </c>
      <c r="E1" s="215" t="s">
        <v>4</v>
      </c>
      <c r="F1" s="215" t="s">
        <v>5</v>
      </c>
      <c r="G1" s="215" t="s">
        <v>6</v>
      </c>
      <c r="H1" s="310" t="s">
        <v>7</v>
      </c>
      <c r="I1" s="132" t="s">
        <v>8</v>
      </c>
      <c r="J1" s="310" t="s">
        <v>9</v>
      </c>
      <c r="K1" s="132" t="s">
        <v>10</v>
      </c>
      <c r="L1" s="132" t="s">
        <v>11</v>
      </c>
      <c r="M1" s="310" t="s">
        <v>12</v>
      </c>
      <c r="N1" s="133" t="s">
        <v>13</v>
      </c>
      <c r="O1" s="310" t="s">
        <v>14</v>
      </c>
    </row>
    <row r="2" spans="1:15" ht="12">
      <c r="A2" s="221"/>
      <c r="B2" s="216"/>
      <c r="C2" s="216"/>
      <c r="D2" s="216"/>
      <c r="E2" s="216"/>
      <c r="F2" s="216"/>
      <c r="G2" s="216"/>
      <c r="H2" s="310" t="s">
        <v>15</v>
      </c>
      <c r="I2" s="132" t="s">
        <v>16</v>
      </c>
      <c r="J2" s="310" t="s">
        <v>17</v>
      </c>
      <c r="K2" s="132" t="s">
        <v>18</v>
      </c>
      <c r="L2" s="132" t="s">
        <v>19</v>
      </c>
      <c r="M2" s="310" t="s">
        <v>20</v>
      </c>
      <c r="N2" s="133" t="s">
        <v>21</v>
      </c>
      <c r="O2" s="310" t="s">
        <v>22</v>
      </c>
    </row>
    <row r="3" spans="1:15" ht="48">
      <c r="A3" s="217">
        <v>1</v>
      </c>
      <c r="B3" s="134">
        <v>1</v>
      </c>
      <c r="C3" s="134" t="s">
        <v>23</v>
      </c>
      <c r="D3" s="134" t="s">
        <v>24</v>
      </c>
      <c r="E3" s="134" t="s">
        <v>25</v>
      </c>
      <c r="F3" s="134" t="s">
        <v>26</v>
      </c>
      <c r="G3" s="134" t="s">
        <v>27</v>
      </c>
      <c r="H3" s="311">
        <f>'Custos Empregados'!$I$114</f>
        <v>8446.9698473535755</v>
      </c>
      <c r="I3" s="134">
        <v>2</v>
      </c>
      <c r="J3" s="311">
        <f>I3*H3</f>
        <v>16893.939694707151</v>
      </c>
      <c r="K3" s="134">
        <v>1</v>
      </c>
      <c r="L3" s="134">
        <f>I3*K3</f>
        <v>2</v>
      </c>
      <c r="M3" s="311">
        <f>J3*K3</f>
        <v>16893.939694707151</v>
      </c>
      <c r="N3" s="134">
        <v>12</v>
      </c>
      <c r="O3" s="311">
        <f>M3*N3</f>
        <v>202727.27633648581</v>
      </c>
    </row>
    <row r="4" spans="1:15" ht="48">
      <c r="A4" s="218"/>
      <c r="B4" s="134">
        <v>2</v>
      </c>
      <c r="C4" s="134" t="s">
        <v>23</v>
      </c>
      <c r="D4" s="134" t="s">
        <v>28</v>
      </c>
      <c r="E4" s="134" t="s">
        <v>25</v>
      </c>
      <c r="F4" s="134" t="s">
        <v>26</v>
      </c>
      <c r="G4" s="134" t="s">
        <v>29</v>
      </c>
      <c r="H4" s="311">
        <f>'Custos Empregados'!$K$114</f>
        <v>9280.9879231553259</v>
      </c>
      <c r="I4" s="134">
        <v>2</v>
      </c>
      <c r="J4" s="311">
        <f t="shared" ref="J4:J12" si="0">I4*H4</f>
        <v>18561.975846310652</v>
      </c>
      <c r="K4" s="134">
        <v>1</v>
      </c>
      <c r="L4" s="134">
        <f t="shared" ref="L4:L12" si="1">I4*K4</f>
        <v>2</v>
      </c>
      <c r="M4" s="311">
        <f t="shared" ref="M4:M12" si="2">J4*K4</f>
        <v>18561.975846310652</v>
      </c>
      <c r="N4" s="134">
        <v>12</v>
      </c>
      <c r="O4" s="311">
        <f t="shared" ref="O4:O12" si="3">M4*N4</f>
        <v>222743.71015572781</v>
      </c>
    </row>
    <row r="5" spans="1:15" ht="48">
      <c r="A5" s="218"/>
      <c r="B5" s="134">
        <v>5</v>
      </c>
      <c r="C5" s="134" t="s">
        <v>23</v>
      </c>
      <c r="D5" s="134" t="s">
        <v>24</v>
      </c>
      <c r="E5" s="134" t="s">
        <v>30</v>
      </c>
      <c r="F5" s="134" t="s">
        <v>26</v>
      </c>
      <c r="G5" s="134" t="s">
        <v>31</v>
      </c>
      <c r="H5" s="311">
        <f>'Custos Empregados'!$M$114</f>
        <v>5921.3364945838966</v>
      </c>
      <c r="I5" s="134">
        <v>2</v>
      </c>
      <c r="J5" s="311">
        <f t="shared" si="0"/>
        <v>11842.672989167793</v>
      </c>
      <c r="K5" s="134">
        <v>4</v>
      </c>
      <c r="L5" s="134">
        <f t="shared" si="1"/>
        <v>8</v>
      </c>
      <c r="M5" s="311">
        <f t="shared" si="2"/>
        <v>47370.691956671173</v>
      </c>
      <c r="N5" s="134">
        <v>12</v>
      </c>
      <c r="O5" s="311">
        <f t="shared" si="3"/>
        <v>568448.30348005402</v>
      </c>
    </row>
    <row r="6" spans="1:15" ht="48">
      <c r="A6" s="218"/>
      <c r="B6" s="134">
        <v>6</v>
      </c>
      <c r="C6" s="134" t="s">
        <v>23</v>
      </c>
      <c r="D6" s="134" t="s">
        <v>28</v>
      </c>
      <c r="E6" s="134" t="s">
        <v>30</v>
      </c>
      <c r="F6" s="134" t="s">
        <v>26</v>
      </c>
      <c r="G6" s="134" t="s">
        <v>32</v>
      </c>
      <c r="H6" s="311">
        <f>'Custos Empregados'!$O$114</f>
        <v>6479.8273400649468</v>
      </c>
      <c r="I6" s="134">
        <v>2</v>
      </c>
      <c r="J6" s="311">
        <f t="shared" si="0"/>
        <v>12959.654680129894</v>
      </c>
      <c r="K6" s="134">
        <v>4</v>
      </c>
      <c r="L6" s="134">
        <f t="shared" si="1"/>
        <v>8</v>
      </c>
      <c r="M6" s="311">
        <f t="shared" si="2"/>
        <v>51838.618720519575</v>
      </c>
      <c r="N6" s="134">
        <v>12</v>
      </c>
      <c r="O6" s="311">
        <f t="shared" si="3"/>
        <v>622063.42464623484</v>
      </c>
    </row>
    <row r="7" spans="1:15" ht="36">
      <c r="A7" s="218"/>
      <c r="B7" s="134">
        <v>3</v>
      </c>
      <c r="C7" s="212" t="s">
        <v>289</v>
      </c>
      <c r="D7" s="134" t="s">
        <v>24</v>
      </c>
      <c r="E7" s="134" t="s">
        <v>33</v>
      </c>
      <c r="F7" s="134" t="s">
        <v>26</v>
      </c>
      <c r="G7" s="134" t="s">
        <v>34</v>
      </c>
      <c r="H7" s="311">
        <f>'Custos Empregados'!$Q$114</f>
        <v>5350.7668152836059</v>
      </c>
      <c r="I7" s="134">
        <v>2</v>
      </c>
      <c r="J7" s="311">
        <f t="shared" si="0"/>
        <v>10701.533630567212</v>
      </c>
      <c r="K7" s="134">
        <v>9</v>
      </c>
      <c r="L7" s="134">
        <f t="shared" si="1"/>
        <v>18</v>
      </c>
      <c r="M7" s="311">
        <f t="shared" si="2"/>
        <v>96313.802675104904</v>
      </c>
      <c r="N7" s="134">
        <v>12</v>
      </c>
      <c r="O7" s="311">
        <f t="shared" si="3"/>
        <v>1155765.6321012587</v>
      </c>
    </row>
    <row r="8" spans="1:15" ht="36">
      <c r="A8" s="218"/>
      <c r="B8" s="134">
        <v>4</v>
      </c>
      <c r="C8" s="134" t="s">
        <v>23</v>
      </c>
      <c r="D8" s="134" t="s">
        <v>28</v>
      </c>
      <c r="E8" s="134" t="s">
        <v>33</v>
      </c>
      <c r="F8" s="134" t="s">
        <v>26</v>
      </c>
      <c r="G8" s="134" t="s">
        <v>35</v>
      </c>
      <c r="H8" s="311">
        <f>'Custos Empregados'!$S$114</f>
        <v>5845.378127236957</v>
      </c>
      <c r="I8" s="134">
        <v>2</v>
      </c>
      <c r="J8" s="311">
        <f t="shared" si="0"/>
        <v>11690.756254473914</v>
      </c>
      <c r="K8" s="134">
        <v>4</v>
      </c>
      <c r="L8" s="134">
        <f t="shared" si="1"/>
        <v>8</v>
      </c>
      <c r="M8" s="311">
        <f t="shared" si="2"/>
        <v>46763.025017895656</v>
      </c>
      <c r="N8" s="134">
        <v>12</v>
      </c>
      <c r="O8" s="311">
        <f t="shared" si="3"/>
        <v>561156.3002147479</v>
      </c>
    </row>
    <row r="9" spans="1:15" ht="48">
      <c r="A9" s="218"/>
      <c r="B9" s="134">
        <v>7</v>
      </c>
      <c r="C9" s="134" t="s">
        <v>23</v>
      </c>
      <c r="D9" s="134" t="s">
        <v>24</v>
      </c>
      <c r="E9" s="134" t="s">
        <v>33</v>
      </c>
      <c r="F9" s="134" t="s">
        <v>36</v>
      </c>
      <c r="G9" s="134" t="s">
        <v>293</v>
      </c>
      <c r="H9" s="311">
        <f>'Custos Empregados'!$U$114</f>
        <v>5294.3801097442465</v>
      </c>
      <c r="I9" s="134">
        <v>1</v>
      </c>
      <c r="J9" s="311">
        <f t="shared" si="0"/>
        <v>5294.3801097442465</v>
      </c>
      <c r="K9" s="134">
        <v>14</v>
      </c>
      <c r="L9" s="134">
        <f t="shared" si="1"/>
        <v>14</v>
      </c>
      <c r="M9" s="311">
        <f t="shared" si="2"/>
        <v>74121.321536419448</v>
      </c>
      <c r="N9" s="134">
        <v>12</v>
      </c>
      <c r="O9" s="311">
        <f t="shared" si="3"/>
        <v>889455.85843703337</v>
      </c>
    </row>
    <row r="10" spans="1:15" ht="48">
      <c r="A10" s="218"/>
      <c r="B10" s="134">
        <v>8</v>
      </c>
      <c r="C10" s="134" t="s">
        <v>23</v>
      </c>
      <c r="D10" s="134" t="s">
        <v>24</v>
      </c>
      <c r="E10" s="134" t="s">
        <v>33</v>
      </c>
      <c r="F10" s="134" t="s">
        <v>37</v>
      </c>
      <c r="G10" s="134" t="s">
        <v>294</v>
      </c>
      <c r="H10" s="311">
        <f>'Custos Empregados'!$W$114</f>
        <v>4676.8215091611564</v>
      </c>
      <c r="I10" s="134">
        <v>1</v>
      </c>
      <c r="J10" s="311">
        <f t="shared" si="0"/>
        <v>4676.8215091611564</v>
      </c>
      <c r="K10" s="134">
        <v>10</v>
      </c>
      <c r="L10" s="134">
        <f t="shared" si="1"/>
        <v>10</v>
      </c>
      <c r="M10" s="311">
        <f t="shared" si="2"/>
        <v>46768.215091611564</v>
      </c>
      <c r="N10" s="134">
        <v>12</v>
      </c>
      <c r="O10" s="311">
        <f t="shared" si="3"/>
        <v>561218.58109933883</v>
      </c>
    </row>
    <row r="11" spans="1:15" ht="48">
      <c r="A11" s="218"/>
      <c r="B11" s="134">
        <v>9</v>
      </c>
      <c r="C11" s="134" t="s">
        <v>38</v>
      </c>
      <c r="D11" s="134" t="s">
        <v>24</v>
      </c>
      <c r="E11" s="134" t="s">
        <v>39</v>
      </c>
      <c r="F11" s="134" t="s">
        <v>26</v>
      </c>
      <c r="G11" s="134" t="s">
        <v>40</v>
      </c>
      <c r="H11" s="311">
        <f>'Custos Empregados'!$Y$114</f>
        <v>4844.4012176159667</v>
      </c>
      <c r="I11" s="134">
        <v>2</v>
      </c>
      <c r="J11" s="311">
        <f t="shared" si="0"/>
        <v>9688.8024352319335</v>
      </c>
      <c r="K11" s="134">
        <v>8</v>
      </c>
      <c r="L11" s="134">
        <f t="shared" si="1"/>
        <v>16</v>
      </c>
      <c r="M11" s="311">
        <f t="shared" si="2"/>
        <v>77510.419481855468</v>
      </c>
      <c r="N11" s="134">
        <v>6</v>
      </c>
      <c r="O11" s="311">
        <f t="shared" si="3"/>
        <v>465062.51689113281</v>
      </c>
    </row>
    <row r="12" spans="1:15" ht="48">
      <c r="A12" s="219"/>
      <c r="B12" s="134">
        <v>10</v>
      </c>
      <c r="C12" s="134" t="s">
        <v>41</v>
      </c>
      <c r="D12" s="134" t="s">
        <v>24</v>
      </c>
      <c r="E12" s="134" t="s">
        <v>30</v>
      </c>
      <c r="F12" s="134" t="s">
        <v>26</v>
      </c>
      <c r="G12" s="134" t="s">
        <v>31</v>
      </c>
      <c r="H12" s="311">
        <f>'Custos Empregados'!$AA$114</f>
        <v>5921.3364945838966</v>
      </c>
      <c r="I12" s="134">
        <v>2</v>
      </c>
      <c r="J12" s="311">
        <f t="shared" si="0"/>
        <v>11842.672989167793</v>
      </c>
      <c r="K12" s="134">
        <v>2</v>
      </c>
      <c r="L12" s="134">
        <f t="shared" si="1"/>
        <v>4</v>
      </c>
      <c r="M12" s="311">
        <f t="shared" si="2"/>
        <v>23685.345978335587</v>
      </c>
      <c r="N12" s="134">
        <v>12</v>
      </c>
      <c r="O12" s="311">
        <f t="shared" si="3"/>
        <v>284224.15174002701</v>
      </c>
    </row>
    <row r="13" spans="1:15" ht="22.5" customHeight="1">
      <c r="A13" s="135"/>
      <c r="B13" s="136"/>
      <c r="C13" s="136"/>
      <c r="D13" s="136"/>
      <c r="E13" s="136"/>
      <c r="F13" s="136"/>
      <c r="G13" s="136"/>
      <c r="H13" s="312"/>
      <c r="I13" s="59"/>
      <c r="J13" s="312"/>
      <c r="K13" s="134">
        <f>SUM(K3:K12)</f>
        <v>57</v>
      </c>
      <c r="L13" s="134">
        <f>SUM(L3:L12)</f>
        <v>90</v>
      </c>
      <c r="M13" s="314"/>
      <c r="N13" s="137"/>
      <c r="O13" s="315">
        <f>SUM(O3:O12)</f>
        <v>5532865.7551020412</v>
      </c>
    </row>
  </sheetData>
  <mergeCells count="8">
    <mergeCell ref="F1:F2"/>
    <mergeCell ref="G1:G2"/>
    <mergeCell ref="A3:A12"/>
    <mergeCell ref="A1:A2"/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AA02C-B176-43B1-9AD5-800164C95265}">
  <dimension ref="A1:AD118"/>
  <sheetViews>
    <sheetView showGridLines="0" zoomScaleNormal="100" workbookViewId="0">
      <pane xSplit="7" ySplit="12" topLeftCell="H13" activePane="bottomRight" state="frozen"/>
      <selection pane="topRight" activeCell="H1" sqref="H1"/>
      <selection pane="bottomLeft" activeCell="A13" sqref="A13"/>
      <selection pane="bottomRight" activeCell="A17" sqref="A17"/>
    </sheetView>
  </sheetViews>
  <sheetFormatPr defaultColWidth="9.140625" defaultRowHeight="30.75" customHeight="1"/>
  <cols>
    <col min="1" max="1" width="6.7109375" style="3" customWidth="1"/>
    <col min="2" max="2" width="7" style="3" customWidth="1"/>
    <col min="3" max="3" width="6.7109375" style="3" customWidth="1"/>
    <col min="4" max="4" width="11.5703125" style="3" customWidth="1"/>
    <col min="5" max="5" width="11.28515625" style="3" customWidth="1"/>
    <col min="6" max="6" width="6.5703125" style="3" customWidth="1"/>
    <col min="7" max="7" width="14.85546875" style="29" customWidth="1"/>
    <col min="8" max="8" width="8.85546875" style="24" bestFit="1" customWidth="1"/>
    <col min="9" max="9" width="10.140625" style="3" customWidth="1"/>
    <col min="10" max="10" width="8.85546875" style="24" bestFit="1" customWidth="1"/>
    <col min="11" max="11" width="10.140625" style="3" bestFit="1" customWidth="1"/>
    <col min="12" max="12" width="8.85546875" style="79" bestFit="1" customWidth="1"/>
    <col min="13" max="13" width="10.140625" style="80" bestFit="1" customWidth="1"/>
    <col min="14" max="14" width="8.85546875" style="79" bestFit="1" customWidth="1"/>
    <col min="15" max="15" width="10.140625" style="80" bestFit="1" customWidth="1"/>
    <col min="16" max="16" width="8.85546875" style="79" bestFit="1" customWidth="1"/>
    <col min="17" max="17" width="10.140625" style="80" customWidth="1"/>
    <col min="18" max="18" width="8.85546875" style="79" bestFit="1" customWidth="1"/>
    <col min="19" max="19" width="10.140625" style="80" bestFit="1" customWidth="1"/>
    <col min="20" max="20" width="8.85546875" style="24" bestFit="1" customWidth="1"/>
    <col min="21" max="21" width="10.140625" style="3" customWidth="1"/>
    <col min="22" max="22" width="8.85546875" style="79" bestFit="1" customWidth="1"/>
    <col min="23" max="23" width="10.140625" style="80" bestFit="1" customWidth="1"/>
    <col min="24" max="24" width="8.85546875" style="79" bestFit="1" customWidth="1"/>
    <col min="25" max="25" width="10.140625" style="80" bestFit="1" customWidth="1"/>
    <col min="26" max="26" width="8.85546875" style="29" bestFit="1" customWidth="1"/>
    <col min="27" max="27" width="10.140625" style="207" bestFit="1" customWidth="1"/>
    <col min="28" max="28" width="9.140625" style="3"/>
    <col min="29" max="29" width="11.5703125" style="3" bestFit="1" customWidth="1"/>
    <col min="30" max="30" width="10" style="3" bestFit="1" customWidth="1"/>
    <col min="31" max="16384" width="9.140625" style="3"/>
  </cols>
  <sheetData>
    <row r="1" spans="1:27" ht="15" customHeight="1">
      <c r="A1" s="224" t="s">
        <v>256</v>
      </c>
      <c r="B1" s="224"/>
      <c r="C1" s="224"/>
      <c r="D1" s="224"/>
      <c r="E1" s="224"/>
      <c r="F1" s="224"/>
      <c r="G1" s="206"/>
      <c r="R1" s="174"/>
    </row>
    <row r="2" spans="1:27" ht="15" customHeight="1">
      <c r="A2" s="224" t="s">
        <v>42</v>
      </c>
      <c r="B2" s="224"/>
      <c r="C2" s="224"/>
      <c r="D2" s="224"/>
      <c r="E2" s="224"/>
      <c r="F2" s="224"/>
      <c r="G2" s="206"/>
      <c r="H2" s="224" t="s">
        <v>43</v>
      </c>
      <c r="I2" s="224"/>
      <c r="J2" s="224"/>
      <c r="K2" s="171"/>
      <c r="M2" s="172"/>
      <c r="N2" s="173"/>
      <c r="O2" s="172"/>
      <c r="S2" s="175"/>
      <c r="W2" s="79"/>
    </row>
    <row r="3" spans="1:27" ht="15" customHeight="1">
      <c r="A3" s="224" t="s">
        <v>44</v>
      </c>
      <c r="B3" s="224"/>
      <c r="C3" s="224"/>
      <c r="D3" s="224"/>
      <c r="E3" s="224"/>
      <c r="F3" s="224"/>
      <c r="G3" s="206"/>
      <c r="H3" s="223" t="s">
        <v>45</v>
      </c>
      <c r="I3" s="223"/>
      <c r="J3" s="223"/>
      <c r="S3" s="176"/>
    </row>
    <row r="4" spans="1:27" ht="30" customHeight="1">
      <c r="A4" s="222" t="s">
        <v>46</v>
      </c>
      <c r="B4" s="222"/>
      <c r="C4" s="222"/>
      <c r="D4" s="222"/>
      <c r="E4" s="222"/>
      <c r="F4" s="222"/>
      <c r="G4" s="206"/>
      <c r="H4" s="297" t="s">
        <v>47</v>
      </c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</row>
    <row r="5" spans="1:27" ht="15">
      <c r="A5" s="222" t="s">
        <v>48</v>
      </c>
      <c r="B5" s="222"/>
      <c r="C5" s="222"/>
      <c r="D5" s="222"/>
      <c r="E5" s="222"/>
      <c r="F5" s="222"/>
      <c r="G5" s="21"/>
      <c r="H5" s="292" t="s">
        <v>49</v>
      </c>
      <c r="I5" s="292"/>
      <c r="J5" s="292" t="s">
        <v>49</v>
      </c>
      <c r="K5" s="292"/>
      <c r="L5" s="292" t="s">
        <v>50</v>
      </c>
      <c r="M5" s="292"/>
      <c r="N5" s="292" t="s">
        <v>50</v>
      </c>
      <c r="O5" s="292"/>
      <c r="P5" s="292" t="s">
        <v>50</v>
      </c>
      <c r="Q5" s="292"/>
      <c r="R5" s="292" t="s">
        <v>50</v>
      </c>
      <c r="S5" s="292"/>
      <c r="T5" s="292" t="s">
        <v>50</v>
      </c>
      <c r="U5" s="292"/>
      <c r="V5" s="292" t="s">
        <v>50</v>
      </c>
      <c r="W5" s="292"/>
      <c r="X5" s="292" t="s">
        <v>50</v>
      </c>
      <c r="Y5" s="292"/>
      <c r="Z5" s="294" t="s">
        <v>50</v>
      </c>
      <c r="AA5" s="294"/>
    </row>
    <row r="6" spans="1:27" ht="15">
      <c r="A6" s="298" t="s">
        <v>51</v>
      </c>
      <c r="B6" s="298"/>
      <c r="C6" s="298"/>
      <c r="D6" s="298"/>
      <c r="E6" s="298"/>
      <c r="F6" s="298"/>
      <c r="G6" s="25"/>
      <c r="H6" s="293">
        <f>'Salários e Benefícios'!$E$4</f>
        <v>3163.23</v>
      </c>
      <c r="I6" s="293"/>
      <c r="J6" s="295">
        <f>'Salários e Benefícios'!$E$4</f>
        <v>3163.23</v>
      </c>
      <c r="K6" s="296"/>
      <c r="L6" s="247">
        <f>'Salários e Benefícios'!$E$5</f>
        <v>2118.27</v>
      </c>
      <c r="M6" s="248"/>
      <c r="N6" s="257">
        <f>'Salários e Benefícios'!$E$5</f>
        <v>2118.27</v>
      </c>
      <c r="O6" s="258"/>
      <c r="P6" s="247">
        <f>'Salários e Benefícios'!$E$6</f>
        <v>1876.18</v>
      </c>
      <c r="Q6" s="248"/>
      <c r="R6" s="257">
        <f>'Salários e Benefícios'!$E$6</f>
        <v>1876.18</v>
      </c>
      <c r="S6" s="258"/>
      <c r="T6" s="247">
        <f>'Salários e Benefícios'!$E$7</f>
        <v>1535.06</v>
      </c>
      <c r="U6" s="248"/>
      <c r="V6" s="257">
        <f>'Salários e Benefícios'!$E$8</f>
        <v>1279.21</v>
      </c>
      <c r="W6" s="258"/>
      <c r="X6" s="247">
        <f>'Salários e Benefícios'!$E$6</f>
        <v>1876.18</v>
      </c>
      <c r="Y6" s="248"/>
      <c r="Z6" s="295">
        <v>2118.27</v>
      </c>
      <c r="AA6" s="296"/>
    </row>
    <row r="7" spans="1:27" ht="25.5" customHeight="1">
      <c r="A7" s="222" t="s">
        <v>52</v>
      </c>
      <c r="B7" s="222"/>
      <c r="C7" s="222"/>
      <c r="D7" s="222"/>
      <c r="E7" s="222"/>
      <c r="F7" s="222"/>
      <c r="G7" s="157"/>
      <c r="H7" s="290" t="s">
        <v>53</v>
      </c>
      <c r="I7" s="290"/>
      <c r="J7" s="245" t="s">
        <v>54</v>
      </c>
      <c r="K7" s="246"/>
      <c r="L7" s="249" t="s">
        <v>55</v>
      </c>
      <c r="M7" s="250"/>
      <c r="N7" s="259" t="s">
        <v>56</v>
      </c>
      <c r="O7" s="260"/>
      <c r="P7" s="249" t="s">
        <v>57</v>
      </c>
      <c r="Q7" s="250"/>
      <c r="R7" s="259" t="s">
        <v>58</v>
      </c>
      <c r="S7" s="260"/>
      <c r="T7" s="249" t="s">
        <v>59</v>
      </c>
      <c r="U7" s="250"/>
      <c r="V7" s="259" t="s">
        <v>60</v>
      </c>
      <c r="W7" s="260"/>
      <c r="X7" s="249" t="s">
        <v>61</v>
      </c>
      <c r="Y7" s="250"/>
      <c r="Z7" s="245" t="s">
        <v>55</v>
      </c>
      <c r="AA7" s="246"/>
    </row>
    <row r="8" spans="1:27" ht="15" customHeight="1">
      <c r="A8" s="222" t="s">
        <v>62</v>
      </c>
      <c r="B8" s="222"/>
      <c r="C8" s="222"/>
      <c r="D8" s="222"/>
      <c r="E8" s="222"/>
      <c r="F8" s="222"/>
      <c r="G8" s="157"/>
      <c r="H8" s="291" t="s">
        <v>63</v>
      </c>
      <c r="I8" s="291"/>
      <c r="J8" s="243" t="s">
        <v>63</v>
      </c>
      <c r="K8" s="244"/>
      <c r="L8" s="251" t="s">
        <v>63</v>
      </c>
      <c r="M8" s="252"/>
      <c r="N8" s="261" t="s">
        <v>63</v>
      </c>
      <c r="O8" s="262"/>
      <c r="P8" s="251" t="s">
        <v>63</v>
      </c>
      <c r="Q8" s="252"/>
      <c r="R8" s="261" t="s">
        <v>63</v>
      </c>
      <c r="S8" s="262"/>
      <c r="T8" s="251" t="s">
        <v>63</v>
      </c>
      <c r="U8" s="252"/>
      <c r="V8" s="261" t="s">
        <v>63</v>
      </c>
      <c r="W8" s="262"/>
      <c r="X8" s="251" t="s">
        <v>63</v>
      </c>
      <c r="Y8" s="252"/>
      <c r="Z8" s="243" t="s">
        <v>63</v>
      </c>
      <c r="AA8" s="244"/>
    </row>
    <row r="9" spans="1:27" ht="15" customHeight="1">
      <c r="A9" s="299" t="s">
        <v>64</v>
      </c>
      <c r="B9" s="299"/>
      <c r="C9" s="299"/>
      <c r="D9" s="299"/>
      <c r="E9" s="299"/>
      <c r="F9" s="299"/>
      <c r="G9" s="26"/>
      <c r="H9" s="279" t="s">
        <v>286</v>
      </c>
      <c r="I9" s="279"/>
      <c r="J9" s="241" t="s">
        <v>286</v>
      </c>
      <c r="K9" s="242"/>
      <c r="L9" s="253" t="s">
        <v>286</v>
      </c>
      <c r="M9" s="254"/>
      <c r="N9" s="255" t="s">
        <v>286</v>
      </c>
      <c r="O9" s="256"/>
      <c r="P9" s="253" t="s">
        <v>286</v>
      </c>
      <c r="Q9" s="254"/>
      <c r="R9" s="255" t="s">
        <v>286</v>
      </c>
      <c r="S9" s="256"/>
      <c r="T9" s="253" t="s">
        <v>286</v>
      </c>
      <c r="U9" s="254"/>
      <c r="V9" s="255" t="s">
        <v>286</v>
      </c>
      <c r="W9" s="256"/>
      <c r="X9" s="253" t="s">
        <v>286</v>
      </c>
      <c r="Y9" s="254"/>
      <c r="Z9" s="241" t="s">
        <v>286</v>
      </c>
      <c r="AA9" s="242"/>
    </row>
    <row r="10" spans="1:27" ht="15">
      <c r="A10" s="222" t="s">
        <v>65</v>
      </c>
      <c r="B10" s="222"/>
      <c r="C10" s="222"/>
      <c r="D10" s="222"/>
      <c r="E10" s="222"/>
      <c r="F10" s="222"/>
      <c r="G10" s="157"/>
      <c r="H10" s="291" t="s">
        <v>66</v>
      </c>
      <c r="I10" s="291"/>
      <c r="J10" s="243" t="s">
        <v>66</v>
      </c>
      <c r="K10" s="244"/>
      <c r="L10" s="251" t="s">
        <v>66</v>
      </c>
      <c r="M10" s="252"/>
      <c r="N10" s="261" t="s">
        <v>66</v>
      </c>
      <c r="O10" s="262"/>
      <c r="P10" s="251" t="s">
        <v>66</v>
      </c>
      <c r="Q10" s="252"/>
      <c r="R10" s="261" t="s">
        <v>66</v>
      </c>
      <c r="S10" s="262"/>
      <c r="T10" s="251" t="s">
        <v>66</v>
      </c>
      <c r="U10" s="252"/>
      <c r="V10" s="261" t="s">
        <v>66</v>
      </c>
      <c r="W10" s="262"/>
      <c r="X10" s="251" t="s">
        <v>66</v>
      </c>
      <c r="Y10" s="252"/>
      <c r="Z10" s="243" t="s">
        <v>66</v>
      </c>
      <c r="AA10" s="244"/>
    </row>
    <row r="11" spans="1:27" ht="15" customHeight="1">
      <c r="A11" s="222" t="s">
        <v>67</v>
      </c>
      <c r="B11" s="222"/>
      <c r="C11" s="222"/>
      <c r="D11" s="222"/>
      <c r="E11" s="222"/>
      <c r="F11" s="222"/>
      <c r="G11" s="157"/>
      <c r="H11" s="291" t="s">
        <v>68</v>
      </c>
      <c r="I11" s="291"/>
      <c r="J11" s="243" t="s">
        <v>68</v>
      </c>
      <c r="K11" s="244"/>
      <c r="L11" s="251" t="s">
        <v>68</v>
      </c>
      <c r="M11" s="252"/>
      <c r="N11" s="261" t="s">
        <v>68</v>
      </c>
      <c r="O11" s="262"/>
      <c r="P11" s="251" t="s">
        <v>68</v>
      </c>
      <c r="Q11" s="252"/>
      <c r="R11" s="261" t="s">
        <v>68</v>
      </c>
      <c r="S11" s="262"/>
      <c r="T11" s="251" t="s">
        <v>68</v>
      </c>
      <c r="U11" s="252"/>
      <c r="V11" s="261" t="s">
        <v>68</v>
      </c>
      <c r="W11" s="262"/>
      <c r="X11" s="251" t="s">
        <v>68</v>
      </c>
      <c r="Y11" s="252"/>
      <c r="Z11" s="243" t="s">
        <v>68</v>
      </c>
      <c r="AA11" s="244"/>
    </row>
    <row r="12" spans="1:27" ht="33" customHeight="1">
      <c r="A12" s="278" t="s">
        <v>69</v>
      </c>
      <c r="B12" s="278"/>
      <c r="C12" s="278"/>
      <c r="D12" s="278"/>
      <c r="E12" s="278"/>
      <c r="F12" s="270"/>
      <c r="G12" s="25" t="s">
        <v>287</v>
      </c>
      <c r="H12" s="290">
        <v>220</v>
      </c>
      <c r="I12" s="290"/>
      <c r="J12" s="245">
        <v>220</v>
      </c>
      <c r="K12" s="246"/>
      <c r="L12" s="249">
        <v>220</v>
      </c>
      <c r="M12" s="250"/>
      <c r="N12" s="259">
        <v>220</v>
      </c>
      <c r="O12" s="260"/>
      <c r="P12" s="249">
        <v>220</v>
      </c>
      <c r="Q12" s="250"/>
      <c r="R12" s="259">
        <v>220</v>
      </c>
      <c r="S12" s="260"/>
      <c r="T12" s="249">
        <v>180</v>
      </c>
      <c r="U12" s="250"/>
      <c r="V12" s="259">
        <v>150</v>
      </c>
      <c r="W12" s="260"/>
      <c r="X12" s="249">
        <v>220</v>
      </c>
      <c r="Y12" s="250"/>
      <c r="Z12" s="245">
        <v>220</v>
      </c>
      <c r="AA12" s="246"/>
    </row>
    <row r="13" spans="1:27" ht="15">
      <c r="A13" s="276" t="s">
        <v>70</v>
      </c>
      <c r="B13" s="276"/>
      <c r="C13" s="276"/>
      <c r="D13" s="276"/>
      <c r="E13" s="276"/>
      <c r="F13" s="277"/>
      <c r="G13" s="157"/>
      <c r="H13" s="290"/>
      <c r="I13" s="290"/>
      <c r="J13" s="245"/>
      <c r="K13" s="246"/>
      <c r="L13" s="249"/>
      <c r="M13" s="250"/>
      <c r="N13" s="259"/>
      <c r="O13" s="260"/>
      <c r="P13" s="249"/>
      <c r="Q13" s="250"/>
      <c r="R13" s="259"/>
      <c r="S13" s="260"/>
      <c r="T13" s="249"/>
      <c r="U13" s="250"/>
      <c r="V13" s="259"/>
      <c r="W13" s="260"/>
      <c r="X13" s="249"/>
      <c r="Y13" s="250"/>
      <c r="Z13" s="245"/>
      <c r="AA13" s="246"/>
    </row>
    <row r="14" spans="1:27" ht="15" customHeight="1">
      <c r="A14" s="151">
        <v>1</v>
      </c>
      <c r="B14" s="224" t="s">
        <v>70</v>
      </c>
      <c r="C14" s="224"/>
      <c r="D14" s="224"/>
      <c r="E14" s="224"/>
      <c r="F14" s="280"/>
      <c r="G14" s="157"/>
      <c r="H14" s="154" t="s">
        <v>71</v>
      </c>
      <c r="I14" s="154" t="s">
        <v>72</v>
      </c>
      <c r="J14" s="9" t="s">
        <v>71</v>
      </c>
      <c r="K14" s="9" t="s">
        <v>72</v>
      </c>
      <c r="L14" s="154" t="s">
        <v>71</v>
      </c>
      <c r="M14" s="154" t="s">
        <v>72</v>
      </c>
      <c r="N14" s="81" t="s">
        <v>71</v>
      </c>
      <c r="O14" s="81" t="s">
        <v>72</v>
      </c>
      <c r="P14" s="154" t="s">
        <v>71</v>
      </c>
      <c r="Q14" s="154" t="s">
        <v>72</v>
      </c>
      <c r="R14" s="81" t="s">
        <v>71</v>
      </c>
      <c r="S14" s="81" t="s">
        <v>72</v>
      </c>
      <c r="T14" s="154" t="s">
        <v>71</v>
      </c>
      <c r="U14" s="154" t="s">
        <v>72</v>
      </c>
      <c r="V14" s="81" t="s">
        <v>71</v>
      </c>
      <c r="W14" s="81" t="s">
        <v>72</v>
      </c>
      <c r="X14" s="203" t="s">
        <v>71</v>
      </c>
      <c r="Y14" s="203" t="s">
        <v>72</v>
      </c>
      <c r="Z14" s="9" t="s">
        <v>71</v>
      </c>
      <c r="AA14" s="9" t="s">
        <v>72</v>
      </c>
    </row>
    <row r="15" spans="1:27" ht="15" customHeight="1">
      <c r="A15" s="151" t="s">
        <v>15</v>
      </c>
      <c r="B15" s="228" t="s">
        <v>73</v>
      </c>
      <c r="C15" s="228"/>
      <c r="D15" s="228"/>
      <c r="E15" s="228"/>
      <c r="F15" s="225"/>
      <c r="G15" s="156"/>
      <c r="H15" s="155"/>
      <c r="I15" s="62">
        <f>H6</f>
        <v>3163.23</v>
      </c>
      <c r="J15" s="22"/>
      <c r="K15" s="14">
        <f>J6</f>
        <v>3163.23</v>
      </c>
      <c r="L15" s="155"/>
      <c r="M15" s="62">
        <f>L6</f>
        <v>2118.27</v>
      </c>
      <c r="N15" s="82"/>
      <c r="O15" s="83">
        <f>N6</f>
        <v>2118.27</v>
      </c>
      <c r="P15" s="155"/>
      <c r="Q15" s="62">
        <f>P6</f>
        <v>1876.18</v>
      </c>
      <c r="R15" s="82"/>
      <c r="S15" s="83">
        <f>R6</f>
        <v>1876.18</v>
      </c>
      <c r="T15" s="155"/>
      <c r="U15" s="62">
        <f>T6</f>
        <v>1535.06</v>
      </c>
      <c r="V15" s="82"/>
      <c r="W15" s="83">
        <f>V6</f>
        <v>1279.21</v>
      </c>
      <c r="X15" s="204"/>
      <c r="Y15" s="62">
        <f>X6</f>
        <v>1876.18</v>
      </c>
      <c r="Z15" s="22"/>
      <c r="AA15" s="14">
        <f>Z6</f>
        <v>2118.27</v>
      </c>
    </row>
    <row r="16" spans="1:27" ht="28.5" customHeight="1">
      <c r="A16" s="151" t="s">
        <v>16</v>
      </c>
      <c r="B16" s="228" t="s">
        <v>74</v>
      </c>
      <c r="C16" s="228"/>
      <c r="D16" s="228"/>
      <c r="E16" s="228"/>
      <c r="F16" s="225"/>
      <c r="G16" s="156"/>
      <c r="H16" s="63"/>
      <c r="I16" s="62"/>
      <c r="J16" s="15"/>
      <c r="K16" s="14"/>
      <c r="L16" s="63"/>
      <c r="M16" s="62"/>
      <c r="N16" s="84"/>
      <c r="O16" s="83"/>
      <c r="P16" s="63"/>
      <c r="Q16" s="62"/>
      <c r="R16" s="84"/>
      <c r="S16" s="83"/>
      <c r="T16" s="63"/>
      <c r="U16" s="62">
        <f>ROUND((U$15/T$12)*6*1.17,2)</f>
        <v>59.87</v>
      </c>
      <c r="V16" s="84"/>
      <c r="W16" s="83">
        <f>ROUND((W$15/V$12)*5*1.17,2)</f>
        <v>49.89</v>
      </c>
      <c r="X16" s="63"/>
      <c r="Y16" s="62"/>
      <c r="Z16" s="15"/>
      <c r="AA16" s="14"/>
    </row>
    <row r="17" spans="1:27" ht="27.75" customHeight="1">
      <c r="A17" s="151" t="s">
        <v>75</v>
      </c>
      <c r="B17" s="228" t="s">
        <v>257</v>
      </c>
      <c r="C17" s="228"/>
      <c r="D17" s="228"/>
      <c r="E17" s="228"/>
      <c r="F17" s="225"/>
      <c r="G17" s="156"/>
      <c r="H17" s="63"/>
      <c r="I17" s="62"/>
      <c r="J17" s="15"/>
      <c r="K17" s="14"/>
      <c r="L17" s="63"/>
      <c r="M17" s="62"/>
      <c r="N17" s="84"/>
      <c r="O17" s="83"/>
      <c r="P17" s="63"/>
      <c r="Q17" s="62"/>
      <c r="R17" s="84"/>
      <c r="S17" s="83"/>
      <c r="T17" s="63"/>
      <c r="U17" s="62">
        <f>ROUND((U$15/T$12)*6*1.25,2)</f>
        <v>63.96</v>
      </c>
      <c r="V17" s="84"/>
      <c r="W17" s="83">
        <f>ROUND((W$15/V$12)*6*1.25,2)</f>
        <v>63.96</v>
      </c>
      <c r="X17" s="63"/>
      <c r="Y17" s="62"/>
      <c r="Z17" s="15"/>
      <c r="AA17" s="14"/>
    </row>
    <row r="18" spans="1:27" ht="15" customHeight="1">
      <c r="A18" s="151" t="s">
        <v>18</v>
      </c>
      <c r="B18" s="228" t="s">
        <v>76</v>
      </c>
      <c r="C18" s="228"/>
      <c r="D18" s="228"/>
      <c r="E18" s="228"/>
      <c r="F18" s="225"/>
      <c r="G18" s="156"/>
      <c r="H18" s="63"/>
      <c r="I18" s="62"/>
      <c r="J18" s="15"/>
      <c r="K18" s="14"/>
      <c r="L18" s="63"/>
      <c r="M18" s="62"/>
      <c r="N18" s="84"/>
      <c r="O18" s="83"/>
      <c r="P18" s="63"/>
      <c r="Q18" s="62"/>
      <c r="R18" s="84"/>
      <c r="S18" s="83"/>
      <c r="T18" s="63"/>
      <c r="U18" s="62"/>
      <c r="V18" s="84"/>
      <c r="W18" s="83"/>
      <c r="X18" s="63"/>
      <c r="Y18" s="62"/>
      <c r="Z18" s="15"/>
      <c r="AA18" s="14"/>
    </row>
    <row r="19" spans="1:27" ht="15" customHeight="1">
      <c r="A19" s="151" t="s">
        <v>19</v>
      </c>
      <c r="B19" s="228" t="s">
        <v>77</v>
      </c>
      <c r="C19" s="228"/>
      <c r="D19" s="228"/>
      <c r="E19" s="228"/>
      <c r="F19" s="225"/>
      <c r="G19" s="156"/>
      <c r="H19" s="63"/>
      <c r="I19" s="62"/>
      <c r="J19" s="15"/>
      <c r="K19" s="14">
        <f>ROUND((K15/220)*8*0.2*15,2)</f>
        <v>345.08</v>
      </c>
      <c r="L19" s="63"/>
      <c r="M19" s="62"/>
      <c r="N19" s="84"/>
      <c r="O19" s="14">
        <f>ROUND((O15/220)*8*0.2*15,2)</f>
        <v>231.08</v>
      </c>
      <c r="P19" s="63"/>
      <c r="Q19" s="62"/>
      <c r="R19" s="84"/>
      <c r="S19" s="14">
        <f>ROUND((S15/220)*8*0.2*15,2)</f>
        <v>204.67</v>
      </c>
      <c r="T19" s="63"/>
      <c r="U19" s="62"/>
      <c r="V19" s="84"/>
      <c r="W19" s="83"/>
      <c r="X19" s="63"/>
      <c r="Y19" s="62"/>
      <c r="Z19" s="15"/>
      <c r="AA19" s="14"/>
    </row>
    <row r="20" spans="1:27" ht="15" customHeight="1">
      <c r="A20" s="151" t="s">
        <v>78</v>
      </c>
      <c r="B20" s="228" t="s">
        <v>79</v>
      </c>
      <c r="C20" s="228"/>
      <c r="D20" s="228"/>
      <c r="E20" s="228"/>
      <c r="F20" s="225"/>
      <c r="G20" s="156"/>
      <c r="H20" s="63"/>
      <c r="I20" s="62"/>
      <c r="J20" s="15"/>
      <c r="K20" s="14"/>
      <c r="L20" s="63"/>
      <c r="M20" s="62"/>
      <c r="N20" s="84"/>
      <c r="O20" s="83"/>
      <c r="P20" s="63"/>
      <c r="Q20" s="62"/>
      <c r="R20" s="84"/>
      <c r="S20" s="83"/>
      <c r="T20" s="63"/>
      <c r="U20" s="62"/>
      <c r="V20" s="84"/>
      <c r="W20" s="83"/>
      <c r="X20" s="63"/>
      <c r="Y20" s="62"/>
      <c r="Z20" s="15"/>
      <c r="AA20" s="14"/>
    </row>
    <row r="21" spans="1:27" ht="15" customHeight="1">
      <c r="A21" s="231" t="s">
        <v>80</v>
      </c>
      <c r="B21" s="231"/>
      <c r="C21" s="231"/>
      <c r="D21" s="231"/>
      <c r="E21" s="231"/>
      <c r="F21" s="232"/>
      <c r="G21" s="157"/>
      <c r="H21" s="154"/>
      <c r="I21" s="64">
        <f>SUM(I15:I20)</f>
        <v>3163.23</v>
      </c>
      <c r="J21" s="9"/>
      <c r="K21" s="16">
        <f>SUM(K15:K20)</f>
        <v>3508.31</v>
      </c>
      <c r="L21" s="154"/>
      <c r="M21" s="64">
        <f>SUM(M15:M20)</f>
        <v>2118.27</v>
      </c>
      <c r="N21" s="81"/>
      <c r="O21" s="85">
        <f>SUM(O15:O20)</f>
        <v>2349.35</v>
      </c>
      <c r="P21" s="154"/>
      <c r="Q21" s="64">
        <f>SUM(Q15:Q20)</f>
        <v>1876.18</v>
      </c>
      <c r="R21" s="81"/>
      <c r="S21" s="85">
        <f>SUM(S15:S20)</f>
        <v>2080.85</v>
      </c>
      <c r="T21" s="154"/>
      <c r="U21" s="64">
        <f>SUM(U15:U20)</f>
        <v>1658.8899999999999</v>
      </c>
      <c r="V21" s="81"/>
      <c r="W21" s="85">
        <f>SUM(W15:W20)</f>
        <v>1393.0600000000002</v>
      </c>
      <c r="X21" s="203"/>
      <c r="Y21" s="64">
        <f>SUM(Y15:Y20)</f>
        <v>1876.18</v>
      </c>
      <c r="Z21" s="9"/>
      <c r="AA21" s="16">
        <f>SUM(AA15:AA20)</f>
        <v>2118.27</v>
      </c>
    </row>
    <row r="22" spans="1:27" ht="15">
      <c r="A22" s="266"/>
      <c r="B22" s="267"/>
      <c r="C22" s="267"/>
      <c r="D22" s="267"/>
      <c r="E22" s="267"/>
      <c r="F22" s="267"/>
      <c r="G22" s="19"/>
      <c r="H22" s="168"/>
      <c r="I22" s="167"/>
      <c r="J22" s="9"/>
      <c r="K22" s="8"/>
      <c r="L22" s="154"/>
      <c r="M22" s="65"/>
      <c r="N22" s="81"/>
      <c r="O22" s="86"/>
      <c r="P22" s="154"/>
      <c r="Q22" s="65"/>
      <c r="R22" s="81"/>
      <c r="S22" s="86"/>
      <c r="T22" s="154"/>
      <c r="U22" s="65"/>
      <c r="V22" s="81"/>
      <c r="W22" s="86"/>
      <c r="X22" s="203"/>
      <c r="Y22" s="65"/>
      <c r="Z22" s="9"/>
      <c r="AA22" s="8"/>
    </row>
    <row r="23" spans="1:27" ht="23.25" customHeight="1">
      <c r="A23" s="272" t="s">
        <v>81</v>
      </c>
      <c r="B23" s="272"/>
      <c r="C23" s="272"/>
      <c r="D23" s="272"/>
      <c r="E23" s="272"/>
      <c r="F23" s="266"/>
      <c r="G23" s="157"/>
      <c r="H23" s="154"/>
      <c r="I23" s="167"/>
      <c r="J23" s="9"/>
      <c r="K23" s="8"/>
      <c r="L23" s="154"/>
      <c r="M23" s="65"/>
      <c r="N23" s="81"/>
      <c r="O23" s="86"/>
      <c r="P23" s="154"/>
      <c r="Q23" s="65"/>
      <c r="R23" s="81"/>
      <c r="S23" s="86"/>
      <c r="T23" s="154"/>
      <c r="U23" s="65"/>
      <c r="V23" s="81"/>
      <c r="W23" s="86"/>
      <c r="X23" s="203"/>
      <c r="Y23" s="65"/>
      <c r="Z23" s="9"/>
      <c r="AA23" s="8"/>
    </row>
    <row r="24" spans="1:27" ht="15" customHeight="1">
      <c r="A24" s="151" t="s">
        <v>82</v>
      </c>
      <c r="B24" s="224" t="s">
        <v>83</v>
      </c>
      <c r="C24" s="224"/>
      <c r="D24" s="224"/>
      <c r="E24" s="224"/>
      <c r="F24" s="280"/>
      <c r="G24" s="157"/>
      <c r="H24" s="154" t="s">
        <v>71</v>
      </c>
      <c r="I24" s="154" t="s">
        <v>72</v>
      </c>
      <c r="J24" s="9" t="s">
        <v>71</v>
      </c>
      <c r="K24" s="9" t="s">
        <v>72</v>
      </c>
      <c r="L24" s="154" t="s">
        <v>71</v>
      </c>
      <c r="M24" s="154" t="s">
        <v>72</v>
      </c>
      <c r="N24" s="81" t="s">
        <v>71</v>
      </c>
      <c r="O24" s="81" t="s">
        <v>72</v>
      </c>
      <c r="P24" s="154" t="s">
        <v>71</v>
      </c>
      <c r="Q24" s="154" t="s">
        <v>72</v>
      </c>
      <c r="R24" s="81" t="s">
        <v>71</v>
      </c>
      <c r="S24" s="81" t="s">
        <v>72</v>
      </c>
      <c r="T24" s="154" t="s">
        <v>71</v>
      </c>
      <c r="U24" s="154" t="s">
        <v>72</v>
      </c>
      <c r="V24" s="81" t="s">
        <v>71</v>
      </c>
      <c r="W24" s="81" t="s">
        <v>72</v>
      </c>
      <c r="X24" s="203" t="s">
        <v>71</v>
      </c>
      <c r="Y24" s="203" t="s">
        <v>72</v>
      </c>
      <c r="Z24" s="9" t="s">
        <v>71</v>
      </c>
      <c r="AA24" s="9" t="s">
        <v>72</v>
      </c>
    </row>
    <row r="25" spans="1:27" ht="15" customHeight="1">
      <c r="A25" s="151" t="s">
        <v>15</v>
      </c>
      <c r="B25" s="228" t="s">
        <v>84</v>
      </c>
      <c r="C25" s="228"/>
      <c r="D25" s="228"/>
      <c r="E25" s="228"/>
      <c r="F25" s="225"/>
      <c r="G25" s="179">
        <f>'Memória de Cálculo - Encargos'!D17</f>
        <v>8.3299999999999999E-2</v>
      </c>
      <c r="H25" s="66">
        <f>$G25</f>
        <v>8.3299999999999999E-2</v>
      </c>
      <c r="I25" s="67">
        <f>ROUND(H25*I$21,2)</f>
        <v>263.5</v>
      </c>
      <c r="J25" s="17">
        <f>$G25</f>
        <v>8.3299999999999999E-2</v>
      </c>
      <c r="K25" s="31">
        <f>ROUND(J25*K$21,2)</f>
        <v>292.24</v>
      </c>
      <c r="L25" s="66">
        <f>$G25</f>
        <v>8.3299999999999999E-2</v>
      </c>
      <c r="M25" s="67">
        <f>ROUND(L25*M$21,2)</f>
        <v>176.45</v>
      </c>
      <c r="N25" s="87">
        <f>$G25</f>
        <v>8.3299999999999999E-2</v>
      </c>
      <c r="O25" s="88">
        <f>ROUND(N25*O$21,2)</f>
        <v>195.7</v>
      </c>
      <c r="P25" s="66">
        <f>$G25</f>
        <v>8.3299999999999999E-2</v>
      </c>
      <c r="Q25" s="67">
        <f>ROUND(P25*Q$21,2)</f>
        <v>156.29</v>
      </c>
      <c r="R25" s="87">
        <f>$G25</f>
        <v>8.3299999999999999E-2</v>
      </c>
      <c r="S25" s="88">
        <f>ROUND(R25*S$21,2)</f>
        <v>173.33</v>
      </c>
      <c r="T25" s="66">
        <f>$G25</f>
        <v>8.3299999999999999E-2</v>
      </c>
      <c r="U25" s="67">
        <f>ROUND(T25*U$21,2)</f>
        <v>138.19</v>
      </c>
      <c r="V25" s="87">
        <f>$G25</f>
        <v>8.3299999999999999E-2</v>
      </c>
      <c r="W25" s="88">
        <f>ROUND(V25*W$21,2)</f>
        <v>116.04</v>
      </c>
      <c r="X25" s="66">
        <f>$G25</f>
        <v>8.3299999999999999E-2</v>
      </c>
      <c r="Y25" s="67">
        <f>ROUND(X25*Y$21,2)</f>
        <v>156.29</v>
      </c>
      <c r="Z25" s="17">
        <f>$G25</f>
        <v>8.3299999999999999E-2</v>
      </c>
      <c r="AA25" s="31">
        <f>ROUND(Z25*AA$21,2)</f>
        <v>176.45</v>
      </c>
    </row>
    <row r="26" spans="1:27" ht="15" customHeight="1">
      <c r="A26" s="151" t="s">
        <v>16</v>
      </c>
      <c r="B26" s="228" t="s">
        <v>277</v>
      </c>
      <c r="C26" s="228"/>
      <c r="D26" s="228"/>
      <c r="E26" s="228"/>
      <c r="F26" s="225"/>
      <c r="G26" s="179">
        <f>'Memória de Cálculo - Encargos'!D18</f>
        <v>2.7799999999999998E-2</v>
      </c>
      <c r="H26" s="66">
        <f>$G26</f>
        <v>2.7799999999999998E-2</v>
      </c>
      <c r="I26" s="67">
        <f>ROUND(H26*I$21,2)</f>
        <v>87.94</v>
      </c>
      <c r="J26" s="17">
        <f>$G26</f>
        <v>2.7799999999999998E-2</v>
      </c>
      <c r="K26" s="31">
        <f>ROUND(J26*K$21,2)</f>
        <v>97.53</v>
      </c>
      <c r="L26" s="66">
        <f>$G26</f>
        <v>2.7799999999999998E-2</v>
      </c>
      <c r="M26" s="67">
        <f>ROUND(L26*M$21,2)</f>
        <v>58.89</v>
      </c>
      <c r="N26" s="87">
        <f>$G26</f>
        <v>2.7799999999999998E-2</v>
      </c>
      <c r="O26" s="88">
        <f>ROUND(N26*O$21,2)</f>
        <v>65.31</v>
      </c>
      <c r="P26" s="66">
        <f>$G26</f>
        <v>2.7799999999999998E-2</v>
      </c>
      <c r="Q26" s="67">
        <f>ROUND(P26*Q$21,2)</f>
        <v>52.16</v>
      </c>
      <c r="R26" s="87">
        <f>$G26</f>
        <v>2.7799999999999998E-2</v>
      </c>
      <c r="S26" s="88">
        <f>ROUND(R26*S$21,2)</f>
        <v>57.85</v>
      </c>
      <c r="T26" s="66">
        <f>$G26</f>
        <v>2.7799999999999998E-2</v>
      </c>
      <c r="U26" s="67">
        <f>ROUND(T26*U$21,2)</f>
        <v>46.12</v>
      </c>
      <c r="V26" s="87">
        <f>$G26</f>
        <v>2.7799999999999998E-2</v>
      </c>
      <c r="W26" s="88">
        <f>ROUND(V26*W$21,2)</f>
        <v>38.729999999999997</v>
      </c>
      <c r="X26" s="66">
        <f>$G26</f>
        <v>2.7799999999999998E-2</v>
      </c>
      <c r="Y26" s="67">
        <f>ROUND(X26*Y$21,2)</f>
        <v>52.16</v>
      </c>
      <c r="Z26" s="17">
        <f>$G26</f>
        <v>2.7799999999999998E-2</v>
      </c>
      <c r="AA26" s="31">
        <f>ROUND(Z26*AA$21,2)</f>
        <v>58.89</v>
      </c>
    </row>
    <row r="27" spans="1:27" ht="15" customHeight="1">
      <c r="A27" s="231" t="s">
        <v>86</v>
      </c>
      <c r="B27" s="231"/>
      <c r="C27" s="231"/>
      <c r="D27" s="231"/>
      <c r="E27" s="231"/>
      <c r="F27" s="232"/>
      <c r="G27" s="157"/>
      <c r="H27" s="68">
        <f t="shared" ref="H27:W27" si="0">SUM(H25:H26)</f>
        <v>0.1111</v>
      </c>
      <c r="I27" s="69">
        <f t="shared" si="0"/>
        <v>351.44</v>
      </c>
      <c r="J27" s="11">
        <f t="shared" si="0"/>
        <v>0.1111</v>
      </c>
      <c r="K27" s="32">
        <f t="shared" si="0"/>
        <v>389.77</v>
      </c>
      <c r="L27" s="68">
        <f t="shared" ref="L27" si="1">SUM(L25:L26)</f>
        <v>0.1111</v>
      </c>
      <c r="M27" s="69">
        <f t="shared" ref="M27" si="2">SUM(M25:M26)</f>
        <v>235.33999999999997</v>
      </c>
      <c r="N27" s="89">
        <f t="shared" ref="N27" si="3">SUM(N25:N26)</f>
        <v>0.1111</v>
      </c>
      <c r="O27" s="90">
        <f t="shared" ref="O27" si="4">SUM(O25:O26)</f>
        <v>261.01</v>
      </c>
      <c r="P27" s="68">
        <f t="shared" ref="P27" si="5">SUM(P25:P26)</f>
        <v>0.1111</v>
      </c>
      <c r="Q27" s="69">
        <f t="shared" ref="Q27" si="6">SUM(Q25:Q26)</f>
        <v>208.45</v>
      </c>
      <c r="R27" s="89">
        <f t="shared" ref="R27" si="7">SUM(R25:R26)</f>
        <v>0.1111</v>
      </c>
      <c r="S27" s="90">
        <f t="shared" ref="S27" si="8">SUM(S25:S26)</f>
        <v>231.18</v>
      </c>
      <c r="T27" s="68">
        <f t="shared" si="0"/>
        <v>0.1111</v>
      </c>
      <c r="U27" s="69">
        <f t="shared" si="0"/>
        <v>184.31</v>
      </c>
      <c r="V27" s="89">
        <f t="shared" si="0"/>
        <v>0.1111</v>
      </c>
      <c r="W27" s="90">
        <f t="shared" si="0"/>
        <v>154.77000000000001</v>
      </c>
      <c r="X27" s="68">
        <f t="shared" ref="X27:Y27" si="9">SUM(X25:X26)</f>
        <v>0.1111</v>
      </c>
      <c r="Y27" s="69">
        <f t="shared" si="9"/>
        <v>208.45</v>
      </c>
      <c r="Z27" s="11">
        <f t="shared" ref="Z27" si="10">SUM(Z25:Z26)</f>
        <v>0.1111</v>
      </c>
      <c r="AA27" s="32">
        <f t="shared" ref="AA27" si="11">SUM(AA25:AA26)</f>
        <v>235.33999999999997</v>
      </c>
    </row>
    <row r="28" spans="1:27" ht="15">
      <c r="A28" s="266"/>
      <c r="B28" s="267"/>
      <c r="C28" s="267"/>
      <c r="D28" s="267"/>
      <c r="E28" s="267"/>
      <c r="F28" s="267"/>
      <c r="G28" s="19"/>
      <c r="H28" s="154"/>
      <c r="I28" s="65"/>
      <c r="J28" s="9"/>
      <c r="K28" s="8"/>
      <c r="L28" s="154"/>
      <c r="M28" s="65"/>
      <c r="N28" s="81"/>
      <c r="O28" s="86"/>
      <c r="P28" s="154"/>
      <c r="Q28" s="65"/>
      <c r="R28" s="81"/>
      <c r="S28" s="86"/>
      <c r="T28" s="154"/>
      <c r="U28" s="65"/>
      <c r="V28" s="81"/>
      <c r="W28" s="86"/>
      <c r="X28" s="203"/>
      <c r="Y28" s="65"/>
      <c r="Z28" s="9"/>
      <c r="AA28" s="8"/>
    </row>
    <row r="29" spans="1:27" ht="15" customHeight="1">
      <c r="A29" s="151" t="s">
        <v>87</v>
      </c>
      <c r="B29" s="224" t="s">
        <v>88</v>
      </c>
      <c r="C29" s="224"/>
      <c r="D29" s="224"/>
      <c r="E29" s="224"/>
      <c r="F29" s="280"/>
      <c r="G29" s="157"/>
      <c r="H29" s="154" t="s">
        <v>71</v>
      </c>
      <c r="I29" s="154" t="s">
        <v>72</v>
      </c>
      <c r="J29" s="9" t="s">
        <v>71</v>
      </c>
      <c r="K29" s="9" t="s">
        <v>72</v>
      </c>
      <c r="L29" s="154" t="s">
        <v>71</v>
      </c>
      <c r="M29" s="154" t="s">
        <v>72</v>
      </c>
      <c r="N29" s="81" t="s">
        <v>71</v>
      </c>
      <c r="O29" s="81" t="s">
        <v>72</v>
      </c>
      <c r="P29" s="154" t="s">
        <v>71</v>
      </c>
      <c r="Q29" s="154" t="s">
        <v>72</v>
      </c>
      <c r="R29" s="81" t="s">
        <v>71</v>
      </c>
      <c r="S29" s="81" t="s">
        <v>72</v>
      </c>
      <c r="T29" s="154" t="s">
        <v>71</v>
      </c>
      <c r="U29" s="154" t="s">
        <v>72</v>
      </c>
      <c r="V29" s="81" t="s">
        <v>71</v>
      </c>
      <c r="W29" s="81" t="s">
        <v>72</v>
      </c>
      <c r="X29" s="203" t="s">
        <v>71</v>
      </c>
      <c r="Y29" s="203" t="s">
        <v>72</v>
      </c>
      <c r="Z29" s="9" t="s">
        <v>71</v>
      </c>
      <c r="AA29" s="9" t="s">
        <v>72</v>
      </c>
    </row>
    <row r="30" spans="1:27" ht="15">
      <c r="A30" s="151" t="s">
        <v>15</v>
      </c>
      <c r="B30" s="228" t="s">
        <v>89</v>
      </c>
      <c r="C30" s="228"/>
      <c r="D30" s="228"/>
      <c r="E30" s="228"/>
      <c r="F30" s="225"/>
      <c r="G30" s="10">
        <f>'Memória de Cálculo - Encargos'!D5</f>
        <v>0.2</v>
      </c>
      <c r="H30" s="66">
        <f>$G30</f>
        <v>0.2</v>
      </c>
      <c r="I30" s="67">
        <f>ROUND(H30*SUM(I$21,I$27),2)</f>
        <v>702.93</v>
      </c>
      <c r="J30" s="17">
        <f>$G30</f>
        <v>0.2</v>
      </c>
      <c r="K30" s="31">
        <f>ROUND(J30*SUM(K$21,K$27),2)</f>
        <v>779.62</v>
      </c>
      <c r="L30" s="66">
        <f>$G30</f>
        <v>0.2</v>
      </c>
      <c r="M30" s="67">
        <f>ROUND(L30*SUM(M$21,M$27),2)</f>
        <v>470.72</v>
      </c>
      <c r="N30" s="87">
        <f>$G30</f>
        <v>0.2</v>
      </c>
      <c r="O30" s="88">
        <f>ROUND(N30*SUM(O$21,O$27),2)</f>
        <v>522.07000000000005</v>
      </c>
      <c r="P30" s="66">
        <f>$G30</f>
        <v>0.2</v>
      </c>
      <c r="Q30" s="67">
        <f>ROUND(P30*SUM(Q$21,Q$27),2)</f>
        <v>416.93</v>
      </c>
      <c r="R30" s="87">
        <f>$G30</f>
        <v>0.2</v>
      </c>
      <c r="S30" s="88">
        <f>ROUND(R30*SUM(S$21,S$27),2)</f>
        <v>462.41</v>
      </c>
      <c r="T30" s="66">
        <f>$G30</f>
        <v>0.2</v>
      </c>
      <c r="U30" s="67">
        <f>ROUND(T30*SUM(U$21,U$27),2)</f>
        <v>368.64</v>
      </c>
      <c r="V30" s="87">
        <f>$G30</f>
        <v>0.2</v>
      </c>
      <c r="W30" s="88">
        <f>ROUND(V30*SUM(W$21,W$27),2)</f>
        <v>309.57</v>
      </c>
      <c r="X30" s="66">
        <f>$G30</f>
        <v>0.2</v>
      </c>
      <c r="Y30" s="67">
        <f t="shared" ref="Y30:Y37" si="12">ROUND(X30*SUM(Y$21,Y$27),2)</f>
        <v>416.93</v>
      </c>
      <c r="Z30" s="17">
        <f>$G30</f>
        <v>0.2</v>
      </c>
      <c r="AA30" s="31">
        <f>ROUND(Z30*SUM(AA$21,AA$27),2)</f>
        <v>470.72</v>
      </c>
    </row>
    <row r="31" spans="1:27" ht="15" customHeight="1">
      <c r="A31" s="151" t="s">
        <v>16</v>
      </c>
      <c r="B31" s="228" t="s">
        <v>90</v>
      </c>
      <c r="C31" s="228"/>
      <c r="D31" s="228"/>
      <c r="E31" s="228"/>
      <c r="F31" s="225"/>
      <c r="G31" s="10">
        <f>'Memória de Cálculo - Encargos'!D6</f>
        <v>2.5000000000000001E-2</v>
      </c>
      <c r="H31" s="66">
        <f>$G31</f>
        <v>2.5000000000000001E-2</v>
      </c>
      <c r="I31" s="67">
        <f t="shared" ref="I31:K37" si="13">ROUND(H31*SUM(I$21,I$27),2)</f>
        <v>87.87</v>
      </c>
      <c r="J31" s="17">
        <f>$G31</f>
        <v>2.5000000000000001E-2</v>
      </c>
      <c r="K31" s="31">
        <f t="shared" si="13"/>
        <v>97.45</v>
      </c>
      <c r="L31" s="66">
        <f>$G31</f>
        <v>2.5000000000000001E-2</v>
      </c>
      <c r="M31" s="67">
        <f t="shared" ref="M31" si="14">ROUND(L31*SUM(M$21,M$27),2)</f>
        <v>58.84</v>
      </c>
      <c r="N31" s="87">
        <f>$G31</f>
        <v>2.5000000000000001E-2</v>
      </c>
      <c r="O31" s="88">
        <f t="shared" ref="O31" si="15">ROUND(N31*SUM(O$21,O$27),2)</f>
        <v>65.260000000000005</v>
      </c>
      <c r="P31" s="66">
        <f>$G31</f>
        <v>2.5000000000000001E-2</v>
      </c>
      <c r="Q31" s="67">
        <f t="shared" ref="Q31" si="16">ROUND(P31*SUM(Q$21,Q$27),2)</f>
        <v>52.12</v>
      </c>
      <c r="R31" s="87">
        <f>$G31</f>
        <v>2.5000000000000001E-2</v>
      </c>
      <c r="S31" s="88">
        <f t="shared" ref="S31" si="17">ROUND(R31*SUM(S$21,S$27),2)</f>
        <v>57.8</v>
      </c>
      <c r="T31" s="66">
        <f>$G31</f>
        <v>2.5000000000000001E-2</v>
      </c>
      <c r="U31" s="67">
        <f t="shared" ref="U31" si="18">ROUND(T31*SUM(U$21,U$27),2)</f>
        <v>46.08</v>
      </c>
      <c r="V31" s="87">
        <f>$G31</f>
        <v>2.5000000000000001E-2</v>
      </c>
      <c r="W31" s="88">
        <f t="shared" ref="W31" si="19">ROUND(V31*SUM(W$21,W$27),2)</f>
        <v>38.700000000000003</v>
      </c>
      <c r="X31" s="66">
        <f>$G31</f>
        <v>2.5000000000000001E-2</v>
      </c>
      <c r="Y31" s="67">
        <f t="shared" si="12"/>
        <v>52.12</v>
      </c>
      <c r="Z31" s="17">
        <f>$G31</f>
        <v>2.5000000000000001E-2</v>
      </c>
      <c r="AA31" s="31">
        <f t="shared" ref="AA31" si="20">ROUND(Z31*SUM(AA$21,AA$27),2)</f>
        <v>58.84</v>
      </c>
    </row>
    <row r="32" spans="1:27" ht="15">
      <c r="A32" s="151" t="s">
        <v>75</v>
      </c>
      <c r="B32" s="228" t="s">
        <v>91</v>
      </c>
      <c r="C32" s="228"/>
      <c r="D32" s="228"/>
      <c r="E32" s="228"/>
      <c r="F32" s="225"/>
      <c r="G32" s="10">
        <f>'Memória de Cálculo - Encargos'!D7</f>
        <v>0.03</v>
      </c>
      <c r="H32" s="66">
        <f>$G32</f>
        <v>0.03</v>
      </c>
      <c r="I32" s="67">
        <f t="shared" si="13"/>
        <v>105.44</v>
      </c>
      <c r="J32" s="17">
        <f>$G32</f>
        <v>0.03</v>
      </c>
      <c r="K32" s="31">
        <f t="shared" si="13"/>
        <v>116.94</v>
      </c>
      <c r="L32" s="66">
        <f>$G32</f>
        <v>0.03</v>
      </c>
      <c r="M32" s="67">
        <f t="shared" ref="M32" si="21">ROUND(L32*SUM(M$21,M$27),2)</f>
        <v>70.61</v>
      </c>
      <c r="N32" s="87">
        <f>$G32</f>
        <v>0.03</v>
      </c>
      <c r="O32" s="88">
        <f t="shared" ref="O32" si="22">ROUND(N32*SUM(O$21,O$27),2)</f>
        <v>78.31</v>
      </c>
      <c r="P32" s="66">
        <f>$G32</f>
        <v>0.03</v>
      </c>
      <c r="Q32" s="67">
        <f t="shared" ref="Q32" si="23">ROUND(P32*SUM(Q$21,Q$27),2)</f>
        <v>62.54</v>
      </c>
      <c r="R32" s="87">
        <f>$G32</f>
        <v>0.03</v>
      </c>
      <c r="S32" s="88">
        <f t="shared" ref="S32" si="24">ROUND(R32*SUM(S$21,S$27),2)</f>
        <v>69.36</v>
      </c>
      <c r="T32" s="66">
        <f>$G32</f>
        <v>0.03</v>
      </c>
      <c r="U32" s="67">
        <f t="shared" ref="U32" si="25">ROUND(T32*SUM(U$21,U$27),2)</f>
        <v>55.3</v>
      </c>
      <c r="V32" s="87">
        <f>$G32</f>
        <v>0.03</v>
      </c>
      <c r="W32" s="88">
        <f t="shared" ref="W32" si="26">ROUND(V32*SUM(W$21,W$27),2)</f>
        <v>46.43</v>
      </c>
      <c r="X32" s="66">
        <f>$G32</f>
        <v>0.03</v>
      </c>
      <c r="Y32" s="67">
        <f t="shared" si="12"/>
        <v>62.54</v>
      </c>
      <c r="Z32" s="17">
        <f>$G32</f>
        <v>0.03</v>
      </c>
      <c r="AA32" s="31">
        <f t="shared" ref="AA32" si="27">ROUND(Z32*SUM(AA$21,AA$27),2)</f>
        <v>70.61</v>
      </c>
    </row>
    <row r="33" spans="1:27" ht="15" customHeight="1">
      <c r="A33" s="151" t="s">
        <v>18</v>
      </c>
      <c r="B33" s="228" t="s">
        <v>92</v>
      </c>
      <c r="C33" s="228"/>
      <c r="D33" s="228"/>
      <c r="E33" s="228"/>
      <c r="F33" s="225"/>
      <c r="G33" s="10">
        <f>'Memória de Cálculo - Encargos'!D8</f>
        <v>1.4999999999999999E-2</v>
      </c>
      <c r="H33" s="66">
        <f t="shared" ref="H33:Z37" si="28">$G33</f>
        <v>1.4999999999999999E-2</v>
      </c>
      <c r="I33" s="67">
        <f t="shared" si="13"/>
        <v>52.72</v>
      </c>
      <c r="J33" s="17">
        <f t="shared" si="28"/>
        <v>1.4999999999999999E-2</v>
      </c>
      <c r="K33" s="31">
        <f t="shared" si="13"/>
        <v>58.47</v>
      </c>
      <c r="L33" s="66">
        <f t="shared" si="28"/>
        <v>1.4999999999999999E-2</v>
      </c>
      <c r="M33" s="67">
        <f t="shared" ref="M33" si="29">ROUND(L33*SUM(M$21,M$27),2)</f>
        <v>35.299999999999997</v>
      </c>
      <c r="N33" s="87">
        <f t="shared" si="28"/>
        <v>1.4999999999999999E-2</v>
      </c>
      <c r="O33" s="88">
        <f t="shared" ref="O33" si="30">ROUND(N33*SUM(O$21,O$27),2)</f>
        <v>39.159999999999997</v>
      </c>
      <c r="P33" s="66">
        <f t="shared" si="28"/>
        <v>1.4999999999999999E-2</v>
      </c>
      <c r="Q33" s="67">
        <f t="shared" ref="Q33" si="31">ROUND(P33*SUM(Q$21,Q$27),2)</f>
        <v>31.27</v>
      </c>
      <c r="R33" s="87">
        <f t="shared" si="28"/>
        <v>1.4999999999999999E-2</v>
      </c>
      <c r="S33" s="88">
        <f t="shared" ref="S33" si="32">ROUND(R33*SUM(S$21,S$27),2)</f>
        <v>34.68</v>
      </c>
      <c r="T33" s="66">
        <f t="shared" si="28"/>
        <v>1.4999999999999999E-2</v>
      </c>
      <c r="U33" s="67">
        <f t="shared" ref="U33" si="33">ROUND(T33*SUM(U$21,U$27),2)</f>
        <v>27.65</v>
      </c>
      <c r="V33" s="87">
        <f t="shared" si="28"/>
        <v>1.4999999999999999E-2</v>
      </c>
      <c r="W33" s="88">
        <f t="shared" ref="W33" si="34">ROUND(V33*SUM(W$21,W$27),2)</f>
        <v>23.22</v>
      </c>
      <c r="X33" s="66">
        <f t="shared" si="28"/>
        <v>1.4999999999999999E-2</v>
      </c>
      <c r="Y33" s="67">
        <f t="shared" si="12"/>
        <v>31.27</v>
      </c>
      <c r="Z33" s="17">
        <f t="shared" si="28"/>
        <v>1.4999999999999999E-2</v>
      </c>
      <c r="AA33" s="31">
        <f t="shared" ref="AA33" si="35">ROUND(Z33*SUM(AA$21,AA$27),2)</f>
        <v>35.299999999999997</v>
      </c>
    </row>
    <row r="34" spans="1:27" ht="15" customHeight="1">
      <c r="A34" s="151" t="s">
        <v>19</v>
      </c>
      <c r="B34" s="228" t="s">
        <v>93</v>
      </c>
      <c r="C34" s="228"/>
      <c r="D34" s="228"/>
      <c r="E34" s="228"/>
      <c r="F34" s="225"/>
      <c r="G34" s="10">
        <f>'Memória de Cálculo - Encargos'!D9</f>
        <v>0.01</v>
      </c>
      <c r="H34" s="66">
        <f t="shared" si="28"/>
        <v>0.01</v>
      </c>
      <c r="I34" s="67">
        <f t="shared" si="13"/>
        <v>35.15</v>
      </c>
      <c r="J34" s="17">
        <f t="shared" si="28"/>
        <v>0.01</v>
      </c>
      <c r="K34" s="31">
        <f t="shared" si="13"/>
        <v>38.979999999999997</v>
      </c>
      <c r="L34" s="66">
        <f t="shared" si="28"/>
        <v>0.01</v>
      </c>
      <c r="M34" s="67">
        <f t="shared" ref="M34" si="36">ROUND(L34*SUM(M$21,M$27),2)</f>
        <v>23.54</v>
      </c>
      <c r="N34" s="87">
        <f t="shared" si="28"/>
        <v>0.01</v>
      </c>
      <c r="O34" s="88">
        <f t="shared" ref="O34" si="37">ROUND(N34*SUM(O$21,O$27),2)</f>
        <v>26.1</v>
      </c>
      <c r="P34" s="66">
        <f t="shared" si="28"/>
        <v>0.01</v>
      </c>
      <c r="Q34" s="67">
        <f t="shared" ref="Q34" si="38">ROUND(P34*SUM(Q$21,Q$27),2)</f>
        <v>20.85</v>
      </c>
      <c r="R34" s="87">
        <f t="shared" si="28"/>
        <v>0.01</v>
      </c>
      <c r="S34" s="88">
        <f t="shared" ref="S34" si="39">ROUND(R34*SUM(S$21,S$27),2)</f>
        <v>23.12</v>
      </c>
      <c r="T34" s="66">
        <f t="shared" si="28"/>
        <v>0.01</v>
      </c>
      <c r="U34" s="67">
        <f t="shared" ref="U34" si="40">ROUND(T34*SUM(U$21,U$27),2)</f>
        <v>18.43</v>
      </c>
      <c r="V34" s="87">
        <f t="shared" si="28"/>
        <v>0.01</v>
      </c>
      <c r="W34" s="88">
        <f t="shared" ref="W34" si="41">ROUND(V34*SUM(W$21,W$27),2)</f>
        <v>15.48</v>
      </c>
      <c r="X34" s="66">
        <f t="shared" si="28"/>
        <v>0.01</v>
      </c>
      <c r="Y34" s="67">
        <f t="shared" si="12"/>
        <v>20.85</v>
      </c>
      <c r="Z34" s="17">
        <f t="shared" si="28"/>
        <v>0.01</v>
      </c>
      <c r="AA34" s="31">
        <f t="shared" ref="AA34" si="42">ROUND(Z34*SUM(AA$21,AA$27),2)</f>
        <v>23.54</v>
      </c>
    </row>
    <row r="35" spans="1:27" ht="15" customHeight="1">
      <c r="A35" s="151" t="s">
        <v>78</v>
      </c>
      <c r="B35" s="225" t="s">
        <v>94</v>
      </c>
      <c r="C35" s="226"/>
      <c r="D35" s="226"/>
      <c r="E35" s="226"/>
      <c r="F35" s="227"/>
      <c r="G35" s="10">
        <f>'Memória de Cálculo - Encargos'!D10</f>
        <v>6.0000000000000001E-3</v>
      </c>
      <c r="H35" s="66">
        <f t="shared" si="28"/>
        <v>6.0000000000000001E-3</v>
      </c>
      <c r="I35" s="67">
        <f t="shared" si="13"/>
        <v>21.09</v>
      </c>
      <c r="J35" s="17">
        <f t="shared" si="28"/>
        <v>6.0000000000000001E-3</v>
      </c>
      <c r="K35" s="31">
        <f t="shared" si="13"/>
        <v>23.39</v>
      </c>
      <c r="L35" s="66">
        <f t="shared" si="28"/>
        <v>6.0000000000000001E-3</v>
      </c>
      <c r="M35" s="67">
        <f t="shared" ref="M35" si="43">ROUND(L35*SUM(M$21,M$27),2)</f>
        <v>14.12</v>
      </c>
      <c r="N35" s="87">
        <f t="shared" si="28"/>
        <v>6.0000000000000001E-3</v>
      </c>
      <c r="O35" s="88">
        <f t="shared" ref="O35" si="44">ROUND(N35*SUM(O$21,O$27),2)</f>
        <v>15.66</v>
      </c>
      <c r="P35" s="66">
        <f t="shared" si="28"/>
        <v>6.0000000000000001E-3</v>
      </c>
      <c r="Q35" s="67">
        <f t="shared" ref="Q35" si="45">ROUND(P35*SUM(Q$21,Q$27),2)</f>
        <v>12.51</v>
      </c>
      <c r="R35" s="87">
        <f t="shared" si="28"/>
        <v>6.0000000000000001E-3</v>
      </c>
      <c r="S35" s="88">
        <f t="shared" ref="S35" si="46">ROUND(R35*SUM(S$21,S$27),2)</f>
        <v>13.87</v>
      </c>
      <c r="T35" s="66">
        <f t="shared" si="28"/>
        <v>6.0000000000000001E-3</v>
      </c>
      <c r="U35" s="67">
        <f t="shared" ref="U35" si="47">ROUND(T35*SUM(U$21,U$27),2)</f>
        <v>11.06</v>
      </c>
      <c r="V35" s="87">
        <f t="shared" si="28"/>
        <v>6.0000000000000001E-3</v>
      </c>
      <c r="W35" s="88">
        <f t="shared" ref="W35" si="48">ROUND(V35*SUM(W$21,W$27),2)</f>
        <v>9.2899999999999991</v>
      </c>
      <c r="X35" s="66">
        <f t="shared" si="28"/>
        <v>6.0000000000000001E-3</v>
      </c>
      <c r="Y35" s="67">
        <f t="shared" si="12"/>
        <v>12.51</v>
      </c>
      <c r="Z35" s="17">
        <f t="shared" si="28"/>
        <v>6.0000000000000001E-3</v>
      </c>
      <c r="AA35" s="31">
        <f t="shared" ref="AA35" si="49">ROUND(Z35*SUM(AA$21,AA$27),2)</f>
        <v>14.12</v>
      </c>
    </row>
    <row r="36" spans="1:27" ht="15">
      <c r="A36" s="151" t="s">
        <v>21</v>
      </c>
      <c r="B36" s="228" t="s">
        <v>95</v>
      </c>
      <c r="C36" s="228"/>
      <c r="D36" s="228"/>
      <c r="E36" s="228"/>
      <c r="F36" s="225"/>
      <c r="G36" s="10">
        <f>'Memória de Cálculo - Encargos'!D11</f>
        <v>2E-3</v>
      </c>
      <c r="H36" s="66">
        <f t="shared" si="28"/>
        <v>2E-3</v>
      </c>
      <c r="I36" s="67">
        <f t="shared" si="13"/>
        <v>7.03</v>
      </c>
      <c r="J36" s="17">
        <f t="shared" si="28"/>
        <v>2E-3</v>
      </c>
      <c r="K36" s="31">
        <f t="shared" si="13"/>
        <v>7.8</v>
      </c>
      <c r="L36" s="66">
        <f t="shared" si="28"/>
        <v>2E-3</v>
      </c>
      <c r="M36" s="67">
        <f t="shared" ref="M36" si="50">ROUND(L36*SUM(M$21,M$27),2)</f>
        <v>4.71</v>
      </c>
      <c r="N36" s="87">
        <f t="shared" si="28"/>
        <v>2E-3</v>
      </c>
      <c r="O36" s="88">
        <f t="shared" ref="O36" si="51">ROUND(N36*SUM(O$21,O$27),2)</f>
        <v>5.22</v>
      </c>
      <c r="P36" s="66">
        <f t="shared" si="28"/>
        <v>2E-3</v>
      </c>
      <c r="Q36" s="67">
        <f t="shared" ref="Q36" si="52">ROUND(P36*SUM(Q$21,Q$27),2)</f>
        <v>4.17</v>
      </c>
      <c r="R36" s="87">
        <f t="shared" si="28"/>
        <v>2E-3</v>
      </c>
      <c r="S36" s="88">
        <f t="shared" ref="S36" si="53">ROUND(R36*SUM(S$21,S$27),2)</f>
        <v>4.62</v>
      </c>
      <c r="T36" s="66">
        <f t="shared" si="28"/>
        <v>2E-3</v>
      </c>
      <c r="U36" s="67">
        <f t="shared" ref="U36" si="54">ROUND(T36*SUM(U$21,U$27),2)</f>
        <v>3.69</v>
      </c>
      <c r="V36" s="87">
        <f t="shared" si="28"/>
        <v>2E-3</v>
      </c>
      <c r="W36" s="88">
        <f t="shared" ref="W36" si="55">ROUND(V36*SUM(W$21,W$27),2)</f>
        <v>3.1</v>
      </c>
      <c r="X36" s="66">
        <f t="shared" si="28"/>
        <v>2E-3</v>
      </c>
      <c r="Y36" s="67">
        <f t="shared" si="12"/>
        <v>4.17</v>
      </c>
      <c r="Z36" s="17">
        <f t="shared" si="28"/>
        <v>2E-3</v>
      </c>
      <c r="AA36" s="31">
        <f t="shared" ref="AA36" si="56">ROUND(Z36*SUM(AA$21,AA$27),2)</f>
        <v>4.71</v>
      </c>
    </row>
    <row r="37" spans="1:27" ht="15">
      <c r="A37" s="151" t="s">
        <v>96</v>
      </c>
      <c r="B37" s="228" t="s">
        <v>97</v>
      </c>
      <c r="C37" s="228"/>
      <c r="D37" s="228"/>
      <c r="E37" s="228"/>
      <c r="F37" s="225"/>
      <c r="G37" s="10">
        <f>'Memória de Cálculo - Encargos'!D12</f>
        <v>0.08</v>
      </c>
      <c r="H37" s="66">
        <f t="shared" si="28"/>
        <v>0.08</v>
      </c>
      <c r="I37" s="67">
        <f t="shared" si="13"/>
        <v>281.17</v>
      </c>
      <c r="J37" s="17">
        <f t="shared" si="28"/>
        <v>0.08</v>
      </c>
      <c r="K37" s="31">
        <f t="shared" si="13"/>
        <v>311.85000000000002</v>
      </c>
      <c r="L37" s="66">
        <f t="shared" si="28"/>
        <v>0.08</v>
      </c>
      <c r="M37" s="67">
        <f t="shared" ref="M37" si="57">ROUND(L37*SUM(M$21,M$27),2)</f>
        <v>188.29</v>
      </c>
      <c r="N37" s="87">
        <f t="shared" si="28"/>
        <v>0.08</v>
      </c>
      <c r="O37" s="88">
        <f t="shared" ref="O37" si="58">ROUND(N37*SUM(O$21,O$27),2)</f>
        <v>208.83</v>
      </c>
      <c r="P37" s="66">
        <f t="shared" si="28"/>
        <v>0.08</v>
      </c>
      <c r="Q37" s="67">
        <f t="shared" ref="Q37" si="59">ROUND(P37*SUM(Q$21,Q$27),2)</f>
        <v>166.77</v>
      </c>
      <c r="R37" s="87">
        <f t="shared" si="28"/>
        <v>0.08</v>
      </c>
      <c r="S37" s="88">
        <f t="shared" ref="S37" si="60">ROUND(R37*SUM(S$21,S$27),2)</f>
        <v>184.96</v>
      </c>
      <c r="T37" s="66">
        <f t="shared" si="28"/>
        <v>0.08</v>
      </c>
      <c r="U37" s="67">
        <f t="shared" ref="U37" si="61">ROUND(T37*SUM(U$21,U$27),2)</f>
        <v>147.46</v>
      </c>
      <c r="V37" s="87">
        <f t="shared" si="28"/>
        <v>0.08</v>
      </c>
      <c r="W37" s="88">
        <f t="shared" ref="W37" si="62">ROUND(V37*SUM(W$21,W$27),2)</f>
        <v>123.83</v>
      </c>
      <c r="X37" s="66">
        <f t="shared" si="28"/>
        <v>0.08</v>
      </c>
      <c r="Y37" s="67">
        <f t="shared" si="12"/>
        <v>166.77</v>
      </c>
      <c r="Z37" s="17">
        <f t="shared" si="28"/>
        <v>0.08</v>
      </c>
      <c r="AA37" s="31">
        <f t="shared" ref="AA37" si="63">ROUND(Z37*SUM(AA$21,AA$27),2)</f>
        <v>188.29</v>
      </c>
    </row>
    <row r="38" spans="1:27" ht="15" customHeight="1">
      <c r="A38" s="231" t="s">
        <v>98</v>
      </c>
      <c r="B38" s="231"/>
      <c r="C38" s="231"/>
      <c r="D38" s="231"/>
      <c r="E38" s="231"/>
      <c r="F38" s="232"/>
      <c r="G38" s="11">
        <f t="shared" ref="G38:W38" si="64">SUM(G30:G37)</f>
        <v>0.36800000000000005</v>
      </c>
      <c r="H38" s="68">
        <f t="shared" si="64"/>
        <v>0.36800000000000005</v>
      </c>
      <c r="I38" s="64">
        <f t="shared" si="64"/>
        <v>1293.4000000000001</v>
      </c>
      <c r="J38" s="11">
        <f t="shared" si="64"/>
        <v>0.36800000000000005</v>
      </c>
      <c r="K38" s="16">
        <f t="shared" si="64"/>
        <v>1434.5</v>
      </c>
      <c r="L38" s="68">
        <f t="shared" ref="L38" si="65">SUM(L30:L37)</f>
        <v>0.36800000000000005</v>
      </c>
      <c r="M38" s="64">
        <f t="shared" ref="M38" si="66">SUM(M30:M37)</f>
        <v>866.13</v>
      </c>
      <c r="N38" s="89">
        <f t="shared" ref="N38" si="67">SUM(N30:N37)</f>
        <v>0.36800000000000005</v>
      </c>
      <c r="O38" s="85">
        <f t="shared" ref="O38" si="68">SUM(O30:O37)</f>
        <v>960.61000000000013</v>
      </c>
      <c r="P38" s="68">
        <f t="shared" ref="P38" si="69">SUM(P30:P37)</f>
        <v>0.36800000000000005</v>
      </c>
      <c r="Q38" s="64">
        <f t="shared" ref="Q38" si="70">SUM(Q30:Q37)</f>
        <v>767.16</v>
      </c>
      <c r="R38" s="89">
        <f t="shared" ref="R38" si="71">SUM(R30:R37)</f>
        <v>0.36800000000000005</v>
      </c>
      <c r="S38" s="85">
        <f t="shared" ref="S38" si="72">SUM(S30:S37)</f>
        <v>850.82</v>
      </c>
      <c r="T38" s="68">
        <f t="shared" si="64"/>
        <v>0.36800000000000005</v>
      </c>
      <c r="U38" s="64">
        <f t="shared" si="64"/>
        <v>678.31</v>
      </c>
      <c r="V38" s="89">
        <f t="shared" si="64"/>
        <v>0.36800000000000005</v>
      </c>
      <c r="W38" s="85">
        <f t="shared" si="64"/>
        <v>569.62</v>
      </c>
      <c r="X38" s="68">
        <f t="shared" ref="X38:Y38" si="73">SUM(X30:X37)</f>
        <v>0.36800000000000005</v>
      </c>
      <c r="Y38" s="64">
        <f t="shared" si="73"/>
        <v>767.16</v>
      </c>
      <c r="Z38" s="11">
        <f t="shared" ref="Z38" si="74">SUM(Z30:Z37)</f>
        <v>0.36800000000000005</v>
      </c>
      <c r="AA38" s="16">
        <f t="shared" ref="AA38" si="75">SUM(AA30:AA37)</f>
        <v>866.13</v>
      </c>
    </row>
    <row r="39" spans="1:27" ht="15">
      <c r="A39" s="270"/>
      <c r="B39" s="271"/>
      <c r="C39" s="271"/>
      <c r="D39" s="271"/>
      <c r="E39" s="271"/>
      <c r="F39" s="271"/>
      <c r="G39" s="19"/>
      <c r="H39" s="154"/>
      <c r="I39" s="70"/>
      <c r="J39" s="9"/>
      <c r="K39" s="13"/>
      <c r="L39" s="154"/>
      <c r="M39" s="70"/>
      <c r="N39" s="81"/>
      <c r="O39" s="91"/>
      <c r="P39" s="154"/>
      <c r="Q39" s="70"/>
      <c r="R39" s="81"/>
      <c r="S39" s="91"/>
      <c r="T39" s="154"/>
      <c r="U39" s="70"/>
      <c r="V39" s="81"/>
      <c r="W39" s="91"/>
      <c r="X39" s="203"/>
      <c r="Y39" s="70"/>
      <c r="Z39" s="9"/>
      <c r="AA39" s="13"/>
    </row>
    <row r="40" spans="1:27" ht="15" customHeight="1">
      <c r="A40" s="153" t="s">
        <v>99</v>
      </c>
      <c r="B40" s="229" t="s">
        <v>100</v>
      </c>
      <c r="C40" s="229"/>
      <c r="D40" s="229"/>
      <c r="E40" s="229"/>
      <c r="F40" s="230"/>
      <c r="G40" s="27"/>
      <c r="H40" s="71"/>
      <c r="I40" s="154" t="s">
        <v>72</v>
      </c>
      <c r="J40" s="33"/>
      <c r="K40" s="9" t="s">
        <v>72</v>
      </c>
      <c r="L40" s="71"/>
      <c r="M40" s="154" t="s">
        <v>72</v>
      </c>
      <c r="N40" s="92"/>
      <c r="O40" s="81" t="s">
        <v>72</v>
      </c>
      <c r="P40" s="71"/>
      <c r="Q40" s="154" t="s">
        <v>72</v>
      </c>
      <c r="R40" s="92"/>
      <c r="S40" s="81" t="s">
        <v>72</v>
      </c>
      <c r="T40" s="71"/>
      <c r="U40" s="154" t="s">
        <v>72</v>
      </c>
      <c r="V40" s="92"/>
      <c r="W40" s="81" t="s">
        <v>72</v>
      </c>
      <c r="X40" s="71"/>
      <c r="Y40" s="203" t="s">
        <v>72</v>
      </c>
      <c r="Z40" s="33"/>
      <c r="AA40" s="9" t="s">
        <v>72</v>
      </c>
    </row>
    <row r="41" spans="1:27" ht="33.75" customHeight="1">
      <c r="A41" s="151" t="s">
        <v>15</v>
      </c>
      <c r="B41" s="240" t="s">
        <v>101</v>
      </c>
      <c r="C41" s="240"/>
      <c r="D41" s="240"/>
      <c r="E41" s="240"/>
      <c r="F41" s="237"/>
      <c r="G41" s="30">
        <f>'Salários e Benefícios'!$G$4*2</f>
        <v>8.1</v>
      </c>
      <c r="H41" s="72">
        <v>15</v>
      </c>
      <c r="I41" s="67">
        <f>IF(H41*'Salários e Benefícios'!$G$4*2-I15*0.06&lt;0,0,ROUND(H41*'Salários e Benefícios'!$G$4*2-I15*0.06,2))</f>
        <v>0</v>
      </c>
      <c r="J41" s="34">
        <v>15</v>
      </c>
      <c r="K41" s="31">
        <f>IF(J41*'Salários e Benefícios'!$G$4*2-K15*0.06&lt;0,0,ROUND(J41*'Salários e Benefícios'!$G$4*2-K15*0.06,2))</f>
        <v>0</v>
      </c>
      <c r="L41" s="72">
        <v>15</v>
      </c>
      <c r="M41" s="67">
        <f>IF(L41*'Salários e Benefícios'!$G$4*2-M15*0.06&lt;0,0,ROUND(L41*'Salários e Benefícios'!$G$4*2-M15*0.06,2))</f>
        <v>0</v>
      </c>
      <c r="N41" s="34">
        <v>15</v>
      </c>
      <c r="O41" s="88">
        <f>IF(N41*'Salários e Benefícios'!$G$4*2-O15*0.06&lt;0,0,ROUND(N41*'Salários e Benefícios'!$G$4*2-O15*0.06,2))</f>
        <v>0</v>
      </c>
      <c r="P41" s="72">
        <v>15</v>
      </c>
      <c r="Q41" s="67">
        <f>IF(P41*'Salários e Benefícios'!$G$4*2-Q15*0.06&lt;0,0,ROUND(P41*'Salários e Benefícios'!$G$4*2-Q15*0.06,2))</f>
        <v>8.93</v>
      </c>
      <c r="R41" s="34">
        <v>15</v>
      </c>
      <c r="S41" s="88">
        <f>IF(R41*'Salários e Benefícios'!$G$4*2-S15*0.06&lt;0,0,ROUND(R41*'Salários e Benefícios'!$G$4*2-S15*0.06,2))</f>
        <v>8.93</v>
      </c>
      <c r="T41" s="72">
        <v>26</v>
      </c>
      <c r="U41" s="67">
        <f>IF(T41*'Salários e Benefícios'!$G$4*2-U15*0.06&lt;0,0,ROUND(T41*'Salários e Benefícios'!$G$4*2-U15*0.06,2))</f>
        <v>118.5</v>
      </c>
      <c r="V41" s="34">
        <v>26</v>
      </c>
      <c r="W41" s="88">
        <f>IF(V41*'Salários e Benefícios'!$G$4*2-W15*0.06&lt;0,0,ROUND(V41*'Salários e Benefícios'!$G$4*2-W15*0.06,2))</f>
        <v>133.85</v>
      </c>
      <c r="X41" s="72">
        <v>15</v>
      </c>
      <c r="Y41" s="67">
        <f>IF(X41*'Salários e Benefícios'!$G$4*2-Y15*0.06&lt;0,0,ROUND(X41*'Salários e Benefícios'!$G$4*2-Y15*0.06,2))</f>
        <v>8.93</v>
      </c>
      <c r="Z41" s="34">
        <v>15</v>
      </c>
      <c r="AA41" s="31">
        <f>IF(Z41*'Salários e Benefícios'!$G$4*2-AA15*0.06&lt;0,0,ROUND(Z41*'Salários e Benefícios'!$G$4*2-AA15*0.06,2))</f>
        <v>0</v>
      </c>
    </row>
    <row r="42" spans="1:27" ht="46.5" customHeight="1">
      <c r="A42" s="151" t="s">
        <v>16</v>
      </c>
      <c r="B42" s="240" t="s">
        <v>102</v>
      </c>
      <c r="C42" s="240"/>
      <c r="D42" s="240"/>
      <c r="E42" s="240"/>
      <c r="F42" s="237"/>
      <c r="G42" s="30">
        <f>'Salários e Benefícios'!$F$4</f>
        <v>18</v>
      </c>
      <c r="H42" s="72">
        <v>15</v>
      </c>
      <c r="I42" s="67">
        <f>ROUND(H42*$G42*0.9,2)</f>
        <v>243</v>
      </c>
      <c r="J42" s="34">
        <v>15</v>
      </c>
      <c r="K42" s="31">
        <f>ROUND(J42*$G42*0.9,2)</f>
        <v>243</v>
      </c>
      <c r="L42" s="72">
        <v>15</v>
      </c>
      <c r="M42" s="67">
        <f>ROUND(L42*$G42*0.9,2)</f>
        <v>243</v>
      </c>
      <c r="N42" s="34">
        <v>15</v>
      </c>
      <c r="O42" s="31">
        <f>ROUND(N42*$G42*0.9,2)</f>
        <v>243</v>
      </c>
      <c r="P42" s="72">
        <v>15</v>
      </c>
      <c r="Q42" s="67">
        <f>ROUND(P42*$G42*0.9,2)</f>
        <v>243</v>
      </c>
      <c r="R42" s="34">
        <v>15</v>
      </c>
      <c r="S42" s="31">
        <f>ROUND(R42*$G42*0.9,2)</f>
        <v>243</v>
      </c>
      <c r="T42" s="72">
        <v>26</v>
      </c>
      <c r="U42" s="67">
        <f>ROUND(T42*$G42*0.9,2)</f>
        <v>421.2</v>
      </c>
      <c r="V42" s="34">
        <v>26</v>
      </c>
      <c r="W42" s="31">
        <f>ROUND(V42*$G42*0.9,2)</f>
        <v>421.2</v>
      </c>
      <c r="X42" s="72">
        <v>15</v>
      </c>
      <c r="Y42" s="67">
        <f>ROUND(X42*$G42*0.9,2)</f>
        <v>243</v>
      </c>
      <c r="Z42" s="34">
        <v>15</v>
      </c>
      <c r="AA42" s="31">
        <f>ROUND(Z42*$G42*0.9,2)</f>
        <v>243</v>
      </c>
    </row>
    <row r="43" spans="1:27" ht="15" customHeight="1">
      <c r="A43" s="151" t="s">
        <v>75</v>
      </c>
      <c r="B43" s="237" t="s">
        <v>79</v>
      </c>
      <c r="C43" s="238"/>
      <c r="D43" s="238"/>
      <c r="E43" s="238"/>
      <c r="F43" s="239"/>
      <c r="G43" s="30"/>
      <c r="H43" s="155"/>
      <c r="I43" s="67">
        <f t="shared" ref="I43:AA44" si="76">$G43</f>
        <v>0</v>
      </c>
      <c r="J43" s="22"/>
      <c r="K43" s="31">
        <f t="shared" si="76"/>
        <v>0</v>
      </c>
      <c r="L43" s="155"/>
      <c r="M43" s="67">
        <f t="shared" si="76"/>
        <v>0</v>
      </c>
      <c r="N43" s="82"/>
      <c r="O43" s="88">
        <f t="shared" si="76"/>
        <v>0</v>
      </c>
      <c r="P43" s="155"/>
      <c r="Q43" s="67">
        <f t="shared" si="76"/>
        <v>0</v>
      </c>
      <c r="R43" s="82"/>
      <c r="S43" s="88">
        <f t="shared" si="76"/>
        <v>0</v>
      </c>
      <c r="T43" s="155"/>
      <c r="U43" s="67">
        <f t="shared" si="76"/>
        <v>0</v>
      </c>
      <c r="V43" s="82"/>
      <c r="W43" s="88">
        <f t="shared" si="76"/>
        <v>0</v>
      </c>
      <c r="X43" s="204"/>
      <c r="Y43" s="67">
        <f t="shared" si="76"/>
        <v>0</v>
      </c>
      <c r="Z43" s="22"/>
      <c r="AA43" s="31">
        <f t="shared" si="76"/>
        <v>0</v>
      </c>
    </row>
    <row r="44" spans="1:27" ht="15" customHeight="1">
      <c r="A44" s="151" t="s">
        <v>18</v>
      </c>
      <c r="B44" s="240" t="s">
        <v>292</v>
      </c>
      <c r="C44" s="240"/>
      <c r="D44" s="240"/>
      <c r="E44" s="240"/>
      <c r="F44" s="237"/>
      <c r="G44" s="30">
        <f>'Salários e Benefícios'!$I$4</f>
        <v>13</v>
      </c>
      <c r="H44" s="155"/>
      <c r="I44" s="67">
        <f t="shared" si="76"/>
        <v>13</v>
      </c>
      <c r="J44" s="22"/>
      <c r="K44" s="31">
        <f t="shared" si="76"/>
        <v>13</v>
      </c>
      <c r="L44" s="155"/>
      <c r="M44" s="67">
        <f t="shared" si="76"/>
        <v>13</v>
      </c>
      <c r="N44" s="82"/>
      <c r="O44" s="88">
        <f t="shared" si="76"/>
        <v>13</v>
      </c>
      <c r="P44" s="155"/>
      <c r="Q44" s="67">
        <f t="shared" si="76"/>
        <v>13</v>
      </c>
      <c r="R44" s="82"/>
      <c r="S44" s="88">
        <f t="shared" si="76"/>
        <v>13</v>
      </c>
      <c r="T44" s="155"/>
      <c r="U44" s="67">
        <f t="shared" si="76"/>
        <v>13</v>
      </c>
      <c r="V44" s="82"/>
      <c r="W44" s="88">
        <f t="shared" si="76"/>
        <v>13</v>
      </c>
      <c r="X44" s="204"/>
      <c r="Y44" s="67">
        <f t="shared" si="76"/>
        <v>13</v>
      </c>
      <c r="Z44" s="22"/>
      <c r="AA44" s="31">
        <f t="shared" si="76"/>
        <v>13</v>
      </c>
    </row>
    <row r="45" spans="1:27" ht="15" customHeight="1">
      <c r="A45" s="231" t="s">
        <v>103</v>
      </c>
      <c r="B45" s="231"/>
      <c r="C45" s="231"/>
      <c r="D45" s="231"/>
      <c r="E45" s="231"/>
      <c r="F45" s="232"/>
      <c r="G45" s="157"/>
      <c r="H45" s="154"/>
      <c r="I45" s="69">
        <f>SUM(I41:I44)</f>
        <v>256</v>
      </c>
      <c r="J45" s="9"/>
      <c r="K45" s="32">
        <f>SUM(K41:K44)</f>
        <v>256</v>
      </c>
      <c r="L45" s="154"/>
      <c r="M45" s="69">
        <f>SUM(M41:M44)</f>
        <v>256</v>
      </c>
      <c r="N45" s="81"/>
      <c r="O45" s="90">
        <f>SUM(O41:O44)</f>
        <v>256</v>
      </c>
      <c r="P45" s="154"/>
      <c r="Q45" s="69">
        <f>SUM(Q41:Q44)</f>
        <v>264.93</v>
      </c>
      <c r="R45" s="81"/>
      <c r="S45" s="90">
        <f>SUM(S41:S44)</f>
        <v>264.93</v>
      </c>
      <c r="T45" s="154"/>
      <c r="U45" s="69">
        <f>SUM(U41:U44)</f>
        <v>552.70000000000005</v>
      </c>
      <c r="V45" s="81"/>
      <c r="W45" s="90">
        <f>SUM(W41:W44)</f>
        <v>568.04999999999995</v>
      </c>
      <c r="X45" s="203"/>
      <c r="Y45" s="69">
        <f>SUM(Y41:Y44)</f>
        <v>264.93</v>
      </c>
      <c r="Z45" s="9"/>
      <c r="AA45" s="32">
        <f>SUM(AA41:AA44)</f>
        <v>256</v>
      </c>
    </row>
    <row r="46" spans="1:27" ht="15">
      <c r="A46" s="266"/>
      <c r="B46" s="267"/>
      <c r="C46" s="267"/>
      <c r="D46" s="267"/>
      <c r="E46" s="267"/>
      <c r="F46" s="267"/>
      <c r="G46" s="19"/>
      <c r="H46" s="154"/>
      <c r="I46" s="70"/>
      <c r="J46" s="9"/>
      <c r="K46" s="13"/>
      <c r="L46" s="154"/>
      <c r="M46" s="70"/>
      <c r="N46" s="81"/>
      <c r="O46" s="91"/>
      <c r="P46" s="154"/>
      <c r="Q46" s="70"/>
      <c r="R46" s="81"/>
      <c r="S46" s="91"/>
      <c r="T46" s="154"/>
      <c r="U46" s="70"/>
      <c r="V46" s="81"/>
      <c r="W46" s="91"/>
      <c r="X46" s="203"/>
      <c r="Y46" s="70"/>
      <c r="Z46" s="9"/>
      <c r="AA46" s="13"/>
    </row>
    <row r="47" spans="1:27" ht="22.9" customHeight="1">
      <c r="A47" s="229" t="s">
        <v>104</v>
      </c>
      <c r="B47" s="229"/>
      <c r="C47" s="229"/>
      <c r="D47" s="229"/>
      <c r="E47" s="229"/>
      <c r="F47" s="230"/>
      <c r="G47" s="27"/>
      <c r="H47" s="71"/>
      <c r="I47" s="154" t="s">
        <v>72</v>
      </c>
      <c r="J47" s="33"/>
      <c r="K47" s="9" t="s">
        <v>72</v>
      </c>
      <c r="L47" s="71"/>
      <c r="M47" s="154" t="s">
        <v>72</v>
      </c>
      <c r="N47" s="92"/>
      <c r="O47" s="81" t="s">
        <v>72</v>
      </c>
      <c r="P47" s="71"/>
      <c r="Q47" s="154" t="s">
        <v>72</v>
      </c>
      <c r="R47" s="92"/>
      <c r="S47" s="81" t="s">
        <v>72</v>
      </c>
      <c r="T47" s="71"/>
      <c r="U47" s="154" t="s">
        <v>72</v>
      </c>
      <c r="V47" s="92"/>
      <c r="W47" s="81" t="s">
        <v>72</v>
      </c>
      <c r="X47" s="71"/>
      <c r="Y47" s="203" t="s">
        <v>72</v>
      </c>
      <c r="Z47" s="33"/>
      <c r="AA47" s="9" t="s">
        <v>72</v>
      </c>
    </row>
    <row r="48" spans="1:27" ht="15">
      <c r="A48" s="152" t="s">
        <v>82</v>
      </c>
      <c r="B48" s="233" t="str">
        <f>B24</f>
        <v>Submódulo  2.1 - 13º SALÁRIO E ADICIONAL DE FÉRIAS</v>
      </c>
      <c r="C48" s="233"/>
      <c r="D48" s="233"/>
      <c r="E48" s="233"/>
      <c r="F48" s="234"/>
      <c r="G48" s="156"/>
      <c r="H48" s="155"/>
      <c r="I48" s="69">
        <f>I27</f>
        <v>351.44</v>
      </c>
      <c r="J48" s="22"/>
      <c r="K48" s="32">
        <f>K27</f>
        <v>389.77</v>
      </c>
      <c r="L48" s="155"/>
      <c r="M48" s="69">
        <f>M27</f>
        <v>235.33999999999997</v>
      </c>
      <c r="N48" s="82"/>
      <c r="O48" s="90">
        <f>O27</f>
        <v>261.01</v>
      </c>
      <c r="P48" s="155"/>
      <c r="Q48" s="69">
        <f>Q27</f>
        <v>208.45</v>
      </c>
      <c r="R48" s="82"/>
      <c r="S48" s="90">
        <f>S27</f>
        <v>231.18</v>
      </c>
      <c r="T48" s="155"/>
      <c r="U48" s="69">
        <f>U27</f>
        <v>184.31</v>
      </c>
      <c r="V48" s="82"/>
      <c r="W48" s="90">
        <f>W27</f>
        <v>154.77000000000001</v>
      </c>
      <c r="X48" s="204"/>
      <c r="Y48" s="69">
        <f>Y27</f>
        <v>208.45</v>
      </c>
      <c r="Z48" s="22"/>
      <c r="AA48" s="32">
        <f>AA27</f>
        <v>235.33999999999997</v>
      </c>
    </row>
    <row r="49" spans="1:30" ht="15">
      <c r="A49" s="152" t="s">
        <v>87</v>
      </c>
      <c r="B49" s="233" t="str">
        <f>B29</f>
        <v>Submódulo 2.2 -  ENCARGOS PREVIDÊNCIÁRIOS E FGTS</v>
      </c>
      <c r="C49" s="233"/>
      <c r="D49" s="233"/>
      <c r="E49" s="233"/>
      <c r="F49" s="234"/>
      <c r="G49" s="156"/>
      <c r="H49" s="155"/>
      <c r="I49" s="69">
        <f>I38</f>
        <v>1293.4000000000001</v>
      </c>
      <c r="J49" s="22"/>
      <c r="K49" s="32">
        <f>K38</f>
        <v>1434.5</v>
      </c>
      <c r="L49" s="155"/>
      <c r="M49" s="69">
        <f>M38</f>
        <v>866.13</v>
      </c>
      <c r="N49" s="82"/>
      <c r="O49" s="90">
        <f>O38</f>
        <v>960.61000000000013</v>
      </c>
      <c r="P49" s="155"/>
      <c r="Q49" s="69">
        <f>Q38</f>
        <v>767.16</v>
      </c>
      <c r="R49" s="82"/>
      <c r="S49" s="90">
        <f>S38</f>
        <v>850.82</v>
      </c>
      <c r="T49" s="155"/>
      <c r="U49" s="69">
        <f>U38</f>
        <v>678.31</v>
      </c>
      <c r="V49" s="82"/>
      <c r="W49" s="90">
        <f>W38</f>
        <v>569.62</v>
      </c>
      <c r="X49" s="204"/>
      <c r="Y49" s="69">
        <f>Y38</f>
        <v>767.16</v>
      </c>
      <c r="Z49" s="22"/>
      <c r="AA49" s="32">
        <f>AA38</f>
        <v>866.13</v>
      </c>
    </row>
    <row r="50" spans="1:30" ht="15">
      <c r="A50" s="152" t="s">
        <v>99</v>
      </c>
      <c r="B50" s="233" t="str">
        <f>B40</f>
        <v>Submódulo 2.3 - BENEFÍCIOS MENSAIS E DIÁRIOS</v>
      </c>
      <c r="C50" s="233"/>
      <c r="D50" s="233"/>
      <c r="E50" s="233"/>
      <c r="F50" s="234"/>
      <c r="G50" s="156"/>
      <c r="H50" s="155"/>
      <c r="I50" s="69">
        <f>I45</f>
        <v>256</v>
      </c>
      <c r="J50" s="22"/>
      <c r="K50" s="32">
        <f>K45</f>
        <v>256</v>
      </c>
      <c r="L50" s="155"/>
      <c r="M50" s="69">
        <f>M45</f>
        <v>256</v>
      </c>
      <c r="N50" s="82"/>
      <c r="O50" s="90">
        <f>O45</f>
        <v>256</v>
      </c>
      <c r="P50" s="155"/>
      <c r="Q50" s="69">
        <f>Q45</f>
        <v>264.93</v>
      </c>
      <c r="R50" s="82"/>
      <c r="S50" s="90">
        <f>S45</f>
        <v>264.93</v>
      </c>
      <c r="T50" s="155"/>
      <c r="U50" s="69">
        <f>U45</f>
        <v>552.70000000000005</v>
      </c>
      <c r="V50" s="82"/>
      <c r="W50" s="90">
        <f>W45</f>
        <v>568.04999999999995</v>
      </c>
      <c r="X50" s="204"/>
      <c r="Y50" s="69">
        <f>Y45</f>
        <v>264.93</v>
      </c>
      <c r="Z50" s="22"/>
      <c r="AA50" s="32">
        <f>AA45</f>
        <v>256</v>
      </c>
    </row>
    <row r="51" spans="1:30" ht="15">
      <c r="A51" s="231" t="s">
        <v>105</v>
      </c>
      <c r="B51" s="231"/>
      <c r="C51" s="231"/>
      <c r="D51" s="231"/>
      <c r="E51" s="231"/>
      <c r="F51" s="232"/>
      <c r="G51" s="157"/>
      <c r="H51" s="154"/>
      <c r="I51" s="69">
        <f>SUM(I48:I50)</f>
        <v>1900.8400000000001</v>
      </c>
      <c r="J51" s="9"/>
      <c r="K51" s="32">
        <f>SUM(K48:K50)</f>
        <v>2080.27</v>
      </c>
      <c r="L51" s="154"/>
      <c r="M51" s="69">
        <f>SUM(M48:M50)</f>
        <v>1357.47</v>
      </c>
      <c r="N51" s="81"/>
      <c r="O51" s="90">
        <f>SUM(O48:O50)</f>
        <v>1477.6200000000001</v>
      </c>
      <c r="P51" s="154"/>
      <c r="Q51" s="69">
        <f>SUM(Q48:Q50)</f>
        <v>1240.54</v>
      </c>
      <c r="R51" s="81"/>
      <c r="S51" s="90">
        <f>SUM(S48:S50)</f>
        <v>1346.93</v>
      </c>
      <c r="T51" s="154"/>
      <c r="U51" s="69">
        <f>SUM(U48:U50)</f>
        <v>1415.32</v>
      </c>
      <c r="V51" s="81"/>
      <c r="W51" s="90">
        <f>SUM(W48:W50)</f>
        <v>1292.44</v>
      </c>
      <c r="X51" s="203"/>
      <c r="Y51" s="69">
        <f>SUM(Y48:Y50)</f>
        <v>1240.54</v>
      </c>
      <c r="Z51" s="9"/>
      <c r="AA51" s="32">
        <f>SUM(AA48:AA50)</f>
        <v>1357.47</v>
      </c>
    </row>
    <row r="52" spans="1:30" ht="15">
      <c r="A52" s="268"/>
      <c r="B52" s="269"/>
      <c r="C52" s="269"/>
      <c r="D52" s="269"/>
      <c r="E52" s="269"/>
      <c r="F52" s="269"/>
      <c r="G52" s="28"/>
      <c r="H52" s="73"/>
      <c r="I52" s="70"/>
      <c r="J52" s="18"/>
      <c r="K52" s="13"/>
      <c r="L52" s="73"/>
      <c r="M52" s="70"/>
      <c r="N52" s="93"/>
      <c r="O52" s="91"/>
      <c r="P52" s="73"/>
      <c r="Q52" s="70"/>
      <c r="R52" s="93"/>
      <c r="S52" s="91"/>
      <c r="T52" s="73"/>
      <c r="U52" s="70"/>
      <c r="V52" s="93"/>
      <c r="W52" s="91"/>
      <c r="X52" s="73"/>
      <c r="Y52" s="70"/>
      <c r="Z52" s="18"/>
      <c r="AA52" s="13"/>
    </row>
    <row r="53" spans="1:30" ht="15" customHeight="1">
      <c r="A53" s="272" t="s">
        <v>106</v>
      </c>
      <c r="B53" s="272"/>
      <c r="C53" s="272"/>
      <c r="D53" s="272"/>
      <c r="E53" s="272"/>
      <c r="F53" s="266"/>
      <c r="G53" s="157"/>
      <c r="H53" s="154"/>
      <c r="I53" s="65"/>
      <c r="J53" s="9"/>
      <c r="K53" s="8"/>
      <c r="L53" s="154"/>
      <c r="M53" s="65"/>
      <c r="N53" s="81"/>
      <c r="O53" s="86"/>
      <c r="P53" s="154"/>
      <c r="Q53" s="65"/>
      <c r="R53" s="81"/>
      <c r="S53" s="86"/>
      <c r="T53" s="154"/>
      <c r="U53" s="65"/>
      <c r="V53" s="81"/>
      <c r="W53" s="86"/>
      <c r="X53" s="203"/>
      <c r="Y53" s="65"/>
      <c r="Z53" s="9"/>
      <c r="AA53" s="8"/>
    </row>
    <row r="54" spans="1:30" ht="15" customHeight="1">
      <c r="A54" s="276" t="s">
        <v>107</v>
      </c>
      <c r="B54" s="276"/>
      <c r="C54" s="276"/>
      <c r="D54" s="276"/>
      <c r="E54" s="276"/>
      <c r="F54" s="277"/>
      <c r="G54" s="157" t="s">
        <v>284</v>
      </c>
      <c r="H54" s="154"/>
      <c r="I54" s="154" t="s">
        <v>72</v>
      </c>
      <c r="J54" s="9"/>
      <c r="K54" s="9" t="s">
        <v>72</v>
      </c>
      <c r="L54" s="154"/>
      <c r="M54" s="154" t="s">
        <v>72</v>
      </c>
      <c r="N54" s="81"/>
      <c r="O54" s="81" t="s">
        <v>72</v>
      </c>
      <c r="P54" s="154"/>
      <c r="Q54" s="154" t="s">
        <v>72</v>
      </c>
      <c r="R54" s="81"/>
      <c r="S54" s="81" t="s">
        <v>72</v>
      </c>
      <c r="T54" s="154"/>
      <c r="U54" s="154" t="s">
        <v>72</v>
      </c>
      <c r="V54" s="81"/>
      <c r="W54" s="81" t="s">
        <v>72</v>
      </c>
      <c r="X54" s="209"/>
      <c r="Y54" s="209" t="s">
        <v>72</v>
      </c>
      <c r="Z54" s="9"/>
      <c r="AA54" s="9" t="s">
        <v>72</v>
      </c>
    </row>
    <row r="55" spans="1:30" ht="15" customHeight="1">
      <c r="A55" s="188"/>
      <c r="B55" s="235" t="s">
        <v>281</v>
      </c>
      <c r="C55" s="235"/>
      <c r="D55" s="235"/>
      <c r="E55" s="235"/>
      <c r="F55" s="236"/>
      <c r="G55" s="196">
        <f>'Memória de Cálculo - Encargos'!D23</f>
        <v>0.05</v>
      </c>
      <c r="H55" s="195">
        <f>ROUND(SUM(H56:H58),2)</f>
        <v>718.59</v>
      </c>
      <c r="I55" s="69">
        <f>ROUND(H55*$G55,2)</f>
        <v>35.93</v>
      </c>
      <c r="J55" s="197">
        <f t="shared" ref="J55" si="77">ROUND(SUM(J56:J58),2)</f>
        <v>769.06</v>
      </c>
      <c r="K55" s="32">
        <f t="shared" ref="K55" si="78">ROUND(J55*$G55,2)</f>
        <v>38.450000000000003</v>
      </c>
      <c r="L55" s="195">
        <f t="shared" ref="L55" si="79">ROUND(SUM(L56:L58),2)</f>
        <v>565.78</v>
      </c>
      <c r="M55" s="69">
        <f t="shared" ref="M55" si="80">ROUND(L55*$G55,2)</f>
        <v>28.29</v>
      </c>
      <c r="N55" s="197">
        <f t="shared" ref="N55" si="81">ROUND(SUM(N56:N58),2)</f>
        <v>599.57000000000005</v>
      </c>
      <c r="O55" s="32">
        <f t="shared" ref="O55" si="82">ROUND(N55*$G55,2)</f>
        <v>29.98</v>
      </c>
      <c r="P55" s="195">
        <f t="shared" ref="P55" si="83">ROUND(SUM(P56:P58),2)</f>
        <v>539.29999999999995</v>
      </c>
      <c r="Q55" s="69">
        <f t="shared" ref="Q55" si="84">ROUND(P55*$G55,2)</f>
        <v>26.97</v>
      </c>
      <c r="R55" s="197">
        <f t="shared" ref="R55" si="85">ROUND(SUM(R56:R58),2)</f>
        <v>569.23</v>
      </c>
      <c r="S55" s="32">
        <f t="shared" ref="S55" si="86">ROUND(R55*$G55,2)</f>
        <v>28.46</v>
      </c>
      <c r="T55" s="195">
        <f t="shared" ref="T55" si="87">ROUND(SUM(T56:T58),2)</f>
        <v>795.3</v>
      </c>
      <c r="U55" s="69">
        <f t="shared" ref="U55" si="88">ROUND(T55*$G55,2)</f>
        <v>39.770000000000003</v>
      </c>
      <c r="V55" s="197">
        <f t="shared" ref="V55" si="89">ROUND(SUM(V56:V58),2)</f>
        <v>771.77</v>
      </c>
      <c r="W55" s="32">
        <f t="shared" ref="W55" si="90">ROUND(V55*$G55,2)</f>
        <v>38.590000000000003</v>
      </c>
      <c r="X55" s="198">
        <v>0</v>
      </c>
      <c r="Y55" s="199">
        <f t="shared" ref="Y55" si="91">ROUND(X55*$G55,2)</f>
        <v>0</v>
      </c>
      <c r="Z55" s="197">
        <f t="shared" ref="Z55" si="92">ROUND(SUM(Z56:Z58),2)</f>
        <v>565.78</v>
      </c>
      <c r="AA55" s="32">
        <f t="shared" ref="AA55" si="93">ROUND(Z55*$G55,2)</f>
        <v>28.29</v>
      </c>
    </row>
    <row r="56" spans="1:30" ht="15" customHeight="1">
      <c r="A56" s="151" t="s">
        <v>15</v>
      </c>
      <c r="B56" s="228" t="s">
        <v>108</v>
      </c>
      <c r="C56" s="228"/>
      <c r="D56" s="228"/>
      <c r="E56" s="228"/>
      <c r="F56" s="225"/>
      <c r="G56" s="194">
        <f>G$55</f>
        <v>0.05</v>
      </c>
      <c r="H56" s="67">
        <f>((I$21+I$21/12+I$21/12+I$21/36)/12)+I50</f>
        <v>570.85854166666672</v>
      </c>
      <c r="I56" s="67">
        <f>H56*$G56</f>
        <v>28.542927083333339</v>
      </c>
      <c r="J56" s="31">
        <f t="shared" ref="J56" si="94">((K$21+K$21/12+K$21/12+K$21/36)/12)+K50</f>
        <v>605.20678240740745</v>
      </c>
      <c r="K56" s="31">
        <f t="shared" ref="K56" si="95">J56*$G56</f>
        <v>30.260339120370375</v>
      </c>
      <c r="L56" s="67">
        <f t="shared" ref="L56" si="96">((M$21+M$21/12+M$21/12+M$21/36)/12)+M50</f>
        <v>466.84631944444448</v>
      </c>
      <c r="M56" s="67">
        <f t="shared" ref="M56" si="97">L56*$G56</f>
        <v>23.342315972222224</v>
      </c>
      <c r="N56" s="31">
        <f t="shared" ref="N56" si="98">((O$21+O$21/12+O$21/12+O$21/36)/12)+O50</f>
        <v>489.84733796296291</v>
      </c>
      <c r="O56" s="31">
        <f t="shared" ref="O56" si="99">N56*$G56</f>
        <v>24.492366898148148</v>
      </c>
      <c r="P56" s="67">
        <f t="shared" ref="P56" si="100">((Q$21+Q$21/12+Q$21/12+Q$21/36)/12)+Q50</f>
        <v>451.67939814814815</v>
      </c>
      <c r="Q56" s="67">
        <f t="shared" ref="Q56" si="101">P56*$G56</f>
        <v>22.583969907407408</v>
      </c>
      <c r="R56" s="31">
        <f t="shared" ref="R56" si="102">((S$21+S$21/12+S$21/12+S$21/36)/12)+S50</f>
        <v>472.05164351851852</v>
      </c>
      <c r="S56" s="31">
        <f t="shared" ref="S56" si="103">R56*$G56</f>
        <v>23.602582175925928</v>
      </c>
      <c r="T56" s="67">
        <f t="shared" ref="T56" si="104">((U$21+U$21/12+U$21/12+U$21/36)/12)+U50</f>
        <v>717.82099537037038</v>
      </c>
      <c r="U56" s="67">
        <f t="shared" ref="U56" si="105">T56*$G56</f>
        <v>35.891049768518521</v>
      </c>
      <c r="V56" s="31">
        <f t="shared" ref="V56" si="106">((W$21+W$21/12+W$21/12+W$21/36)/12)+W50</f>
        <v>706.71106481481479</v>
      </c>
      <c r="W56" s="31">
        <f t="shared" ref="W56" si="107">V56*$G56</f>
        <v>35.335553240740744</v>
      </c>
      <c r="X56" s="200">
        <v>0</v>
      </c>
      <c r="Y56" s="200">
        <f t="shared" ref="Y56" si="108">X56*$G56</f>
        <v>0</v>
      </c>
      <c r="Z56" s="31">
        <f t="shared" ref="Z56" si="109">((AA$21+AA$21/12+AA$21/12+AA$21/36)/12)+AA50</f>
        <v>466.84631944444448</v>
      </c>
      <c r="AA56" s="31">
        <f t="shared" ref="AA56:AA58" si="110">Z56*$G56</f>
        <v>23.342315972222224</v>
      </c>
    </row>
    <row r="57" spans="1:30" ht="15" customHeight="1">
      <c r="A57" s="151" t="s">
        <v>16</v>
      </c>
      <c r="B57" s="228" t="s">
        <v>109</v>
      </c>
      <c r="C57" s="228"/>
      <c r="D57" s="228"/>
      <c r="E57" s="228"/>
      <c r="F57" s="225"/>
      <c r="G57" s="194">
        <f>G$55</f>
        <v>0.05</v>
      </c>
      <c r="H57" s="67">
        <f>((I$21+I$21/12+I$21/12+I$21/36)/12)*H$37</f>
        <v>25.188683333333334</v>
      </c>
      <c r="I57" s="67">
        <f>H57*$G57</f>
        <v>1.2594341666666669</v>
      </c>
      <c r="J57" s="31">
        <f t="shared" ref="J57" si="111">((K$21+K$21/12+K$21/12+K$21/36)/12)*J$37</f>
        <v>27.936542592592591</v>
      </c>
      <c r="K57" s="31">
        <f t="shared" ref="K57" si="112">J57*$G57</f>
        <v>1.3968271296296297</v>
      </c>
      <c r="L57" s="67">
        <f t="shared" ref="L57" si="113">((M$21+M$21/12+M$21/12+M$21/36)/12)*L$37</f>
        <v>16.867705555555556</v>
      </c>
      <c r="M57" s="67">
        <f t="shared" ref="M57" si="114">L57*$G57</f>
        <v>0.84338527777777783</v>
      </c>
      <c r="N57" s="31">
        <f t="shared" ref="N57" si="115">((O$21+O$21/12+O$21/12+O$21/36)/12)*N$37</f>
        <v>18.707787037037036</v>
      </c>
      <c r="O57" s="31">
        <f t="shared" ref="O57" si="116">N57*$G57</f>
        <v>0.9353893518518519</v>
      </c>
      <c r="P57" s="67">
        <f t="shared" ref="P57" si="117">((Q$21+Q$21/12+Q$21/12+Q$21/36)/12)*P$37</f>
        <v>14.93995185185185</v>
      </c>
      <c r="Q57" s="67">
        <f t="shared" ref="Q57" si="118">P57*$G57</f>
        <v>0.74699759259259257</v>
      </c>
      <c r="R57" s="31">
        <f t="shared" ref="R57" si="119">((S$21+S$21/12+S$21/12+S$21/36)/12)*R$37</f>
        <v>16.569731481481483</v>
      </c>
      <c r="S57" s="31">
        <f t="shared" ref="S57" si="120">R57*$G57</f>
        <v>0.82848657407407422</v>
      </c>
      <c r="T57" s="67">
        <f t="shared" ref="T57" si="121">((U$21+U$21/12+U$21/12+U$21/36)/12)*T$37</f>
        <v>13.20967962962963</v>
      </c>
      <c r="U57" s="67">
        <f t="shared" ref="U57" si="122">T57*$G57</f>
        <v>0.66048398148148157</v>
      </c>
      <c r="V57" s="31">
        <f t="shared" ref="V57" si="123">((W$21+W$21/12+W$21/12+W$21/36)/12)*V$37</f>
        <v>11.092885185185187</v>
      </c>
      <c r="W57" s="31">
        <f t="shared" ref="W57" si="124">V57*$G57</f>
        <v>0.55464425925925942</v>
      </c>
      <c r="X57" s="200">
        <v>0</v>
      </c>
      <c r="Y57" s="200">
        <f t="shared" ref="Y57" si="125">X57*$G57</f>
        <v>0</v>
      </c>
      <c r="Z57" s="31">
        <f t="shared" ref="Z57" si="126">((AA$21+AA$21/12+AA$21/12+AA$21/36)/12)*Z$37</f>
        <v>16.867705555555556</v>
      </c>
      <c r="AA57" s="31">
        <f t="shared" si="110"/>
        <v>0.84338527777777783</v>
      </c>
    </row>
    <row r="58" spans="1:30" ht="27.75" customHeight="1">
      <c r="A58" s="151" t="s">
        <v>75</v>
      </c>
      <c r="B58" s="228" t="s">
        <v>285</v>
      </c>
      <c r="C58" s="228"/>
      <c r="D58" s="228"/>
      <c r="E58" s="228"/>
      <c r="F58" s="225"/>
      <c r="G58" s="194">
        <f>G$55</f>
        <v>0.05</v>
      </c>
      <c r="H58" s="67">
        <f>0.4*(H57+I37)</f>
        <v>122.54347333333335</v>
      </c>
      <c r="I58" s="67">
        <f>H58*$G58</f>
        <v>6.1271736666666676</v>
      </c>
      <c r="J58" s="31">
        <f t="shared" ref="J58" si="127">0.4*(J57+K37)</f>
        <v>135.91461703703706</v>
      </c>
      <c r="K58" s="31">
        <f t="shared" ref="K58" si="128">J58*$G58</f>
        <v>6.7957308518518538</v>
      </c>
      <c r="L58" s="67">
        <f t="shared" ref="L58" si="129">0.4*(L57+M37)</f>
        <v>82.063082222222221</v>
      </c>
      <c r="M58" s="67">
        <f t="shared" ref="M58" si="130">L58*$G58</f>
        <v>4.1031541111111114</v>
      </c>
      <c r="N58" s="31">
        <f t="shared" ref="N58" si="131">0.4*(N57+O37)</f>
        <v>91.015114814814822</v>
      </c>
      <c r="O58" s="31">
        <f t="shared" ref="O58" si="132">N58*$G58</f>
        <v>4.5507557407407413</v>
      </c>
      <c r="P58" s="67">
        <f t="shared" ref="P58" si="133">0.4*(P57+Q37)</f>
        <v>72.683980740740751</v>
      </c>
      <c r="Q58" s="67">
        <f t="shared" ref="Q58" si="134">P58*$G58</f>
        <v>3.6341990370370376</v>
      </c>
      <c r="R58" s="31">
        <f t="shared" ref="R58" si="135">0.4*(R57+S37)</f>
        <v>80.611892592592596</v>
      </c>
      <c r="S58" s="31">
        <f t="shared" ref="S58" si="136">R58*$G58</f>
        <v>4.03059462962963</v>
      </c>
      <c r="T58" s="67">
        <f t="shared" ref="T58" si="137">0.4*(T57+U37)</f>
        <v>64.267871851851851</v>
      </c>
      <c r="U58" s="67">
        <f t="shared" ref="U58" si="138">T58*$G58</f>
        <v>3.2133935925925927</v>
      </c>
      <c r="V58" s="31">
        <f t="shared" ref="V58" si="139">0.4*(V57+W37)</f>
        <v>53.969154074074076</v>
      </c>
      <c r="W58" s="31">
        <f t="shared" ref="W58" si="140">V58*$G58</f>
        <v>2.6984577037037041</v>
      </c>
      <c r="X58" s="200">
        <v>0</v>
      </c>
      <c r="Y58" s="200">
        <f t="shared" ref="Y58" si="141">X58*$G58</f>
        <v>0</v>
      </c>
      <c r="Z58" s="31">
        <f t="shared" ref="Z58" si="142">0.4*(Z57+AA37)</f>
        <v>82.063082222222221</v>
      </c>
      <c r="AA58" s="31">
        <f t="shared" si="110"/>
        <v>4.1031541111111114</v>
      </c>
    </row>
    <row r="59" spans="1:30" ht="27.75" customHeight="1">
      <c r="A59" s="188"/>
      <c r="B59" s="235" t="s">
        <v>282</v>
      </c>
      <c r="C59" s="235"/>
      <c r="D59" s="235"/>
      <c r="E59" s="235"/>
      <c r="F59" s="236"/>
      <c r="G59" s="196">
        <f>'Memória de Cálculo - Encargos'!D26</f>
        <v>0.95</v>
      </c>
      <c r="H59" s="69">
        <f>ROUND(SUM(H60:H60),2)</f>
        <v>112.47</v>
      </c>
      <c r="I59" s="69">
        <f>ROUND(H59*$G59,2)</f>
        <v>106.85</v>
      </c>
      <c r="J59" s="32">
        <f t="shared" ref="J59" si="143">ROUND(SUM(J60:J60),2)</f>
        <v>124.74</v>
      </c>
      <c r="K59" s="32">
        <f t="shared" ref="K59" si="144">ROUND(J59*$G59,2)</f>
        <v>118.5</v>
      </c>
      <c r="L59" s="69">
        <f t="shared" ref="L59" si="145">ROUND(SUM(L60:L60),2)</f>
        <v>75.319999999999993</v>
      </c>
      <c r="M59" s="69">
        <f t="shared" ref="M59" si="146">ROUND(L59*$G59,2)</f>
        <v>71.55</v>
      </c>
      <c r="N59" s="32">
        <f t="shared" ref="N59" si="147">ROUND(SUM(N60:N60),2)</f>
        <v>83.53</v>
      </c>
      <c r="O59" s="32">
        <f t="shared" ref="O59" si="148">ROUND(N59*$G59,2)</f>
        <v>79.349999999999994</v>
      </c>
      <c r="P59" s="69">
        <f t="shared" ref="P59" si="149">ROUND(SUM(P60:P60),2)</f>
        <v>66.709999999999994</v>
      </c>
      <c r="Q59" s="69">
        <f t="shared" ref="Q59" si="150">ROUND(P59*$G59,2)</f>
        <v>63.37</v>
      </c>
      <c r="R59" s="32">
        <f t="shared" ref="R59" si="151">ROUND(SUM(R60:R60),2)</f>
        <v>73.98</v>
      </c>
      <c r="S59" s="32">
        <f t="shared" ref="S59" si="152">ROUND(R59*$G59,2)</f>
        <v>70.28</v>
      </c>
      <c r="T59" s="69">
        <f t="shared" ref="T59" si="153">ROUND(SUM(T60:T60),2)</f>
        <v>58.98</v>
      </c>
      <c r="U59" s="69">
        <f t="shared" ref="U59" si="154">ROUND(T59*$G59,2)</f>
        <v>56.03</v>
      </c>
      <c r="V59" s="32">
        <f t="shared" ref="V59" si="155">ROUND(SUM(V60:V60),2)</f>
        <v>49.53</v>
      </c>
      <c r="W59" s="32">
        <f t="shared" ref="W59" si="156">ROUND(V59*$G59,2)</f>
        <v>47.05</v>
      </c>
      <c r="X59" s="199">
        <v>0</v>
      </c>
      <c r="Y59" s="199">
        <f t="shared" ref="Y59" si="157">ROUND(X59*$G59,2)</f>
        <v>0</v>
      </c>
      <c r="Z59" s="32">
        <f t="shared" ref="Z59" si="158">ROUND(SUM(Z60:Z60),2)</f>
        <v>75.319999999999993</v>
      </c>
      <c r="AA59" s="32">
        <f t="shared" ref="AA59" si="159">ROUND(Z59*$G59,2)</f>
        <v>71.55</v>
      </c>
    </row>
    <row r="60" spans="1:30" ht="28.5" customHeight="1">
      <c r="A60" s="151" t="s">
        <v>18</v>
      </c>
      <c r="B60" s="228" t="s">
        <v>283</v>
      </c>
      <c r="C60" s="228"/>
      <c r="D60" s="228"/>
      <c r="E60" s="228"/>
      <c r="F60" s="225"/>
      <c r="G60" s="194">
        <f>G$59</f>
        <v>0.95</v>
      </c>
      <c r="H60" s="67">
        <f>0.4*(I37)</f>
        <v>112.46800000000002</v>
      </c>
      <c r="I60" s="67">
        <f>H60*$G60</f>
        <v>106.84460000000001</v>
      </c>
      <c r="J60" s="31">
        <f t="shared" ref="J60" si="160">0.4*(K37)</f>
        <v>124.74000000000001</v>
      </c>
      <c r="K60" s="31">
        <f t="shared" ref="K60" si="161">J60*$G60</f>
        <v>118.503</v>
      </c>
      <c r="L60" s="67">
        <f t="shared" ref="L60" si="162">0.4*(M37)</f>
        <v>75.316000000000003</v>
      </c>
      <c r="M60" s="67">
        <f t="shared" ref="M60" si="163">L60*$G60</f>
        <v>71.550200000000004</v>
      </c>
      <c r="N60" s="31">
        <f t="shared" ref="N60" si="164">0.4*(O37)</f>
        <v>83.532000000000011</v>
      </c>
      <c r="O60" s="31">
        <f t="shared" ref="O60" si="165">N60*$G60</f>
        <v>79.355400000000003</v>
      </c>
      <c r="P60" s="67">
        <f t="shared" ref="P60" si="166">0.4*(Q37)</f>
        <v>66.708000000000013</v>
      </c>
      <c r="Q60" s="67">
        <f t="shared" ref="Q60" si="167">P60*$G60</f>
        <v>63.372600000000006</v>
      </c>
      <c r="R60" s="31">
        <f t="shared" ref="R60" si="168">0.4*(S37)</f>
        <v>73.984000000000009</v>
      </c>
      <c r="S60" s="31">
        <f t="shared" ref="S60" si="169">R60*$G60</f>
        <v>70.284800000000004</v>
      </c>
      <c r="T60" s="67">
        <f t="shared" ref="T60" si="170">0.4*(U37)</f>
        <v>58.984000000000009</v>
      </c>
      <c r="U60" s="67">
        <f t="shared" ref="U60" si="171">T60*$G60</f>
        <v>56.034800000000004</v>
      </c>
      <c r="V60" s="31">
        <f t="shared" ref="V60" si="172">0.4*(W37)</f>
        <v>49.532000000000004</v>
      </c>
      <c r="W60" s="31">
        <f t="shared" ref="W60" si="173">V60*$G60</f>
        <v>47.055399999999999</v>
      </c>
      <c r="X60" s="200">
        <v>0</v>
      </c>
      <c r="Y60" s="200">
        <f t="shared" ref="Y60" si="174">X60*$G60</f>
        <v>0</v>
      </c>
      <c r="Z60" s="31">
        <f t="shared" ref="Z60" si="175">0.4*(AA37)</f>
        <v>75.316000000000003</v>
      </c>
      <c r="AA60" s="31">
        <f t="shared" ref="AA60" si="176">Z60*$G60</f>
        <v>71.550200000000004</v>
      </c>
      <c r="AC60" s="104"/>
      <c r="AD60" s="104"/>
    </row>
    <row r="61" spans="1:30" ht="15" customHeight="1">
      <c r="A61" s="231" t="s">
        <v>110</v>
      </c>
      <c r="B61" s="231"/>
      <c r="C61" s="231"/>
      <c r="D61" s="231"/>
      <c r="E61" s="231"/>
      <c r="F61" s="232"/>
      <c r="G61" s="11">
        <f>G55+G59</f>
        <v>1</v>
      </c>
      <c r="H61" s="195">
        <f>H59+H55</f>
        <v>831.06000000000006</v>
      </c>
      <c r="I61" s="69">
        <f>I55+I59</f>
        <v>142.78</v>
      </c>
      <c r="J61" s="197">
        <f t="shared" ref="J61" si="177">J59+J55</f>
        <v>893.8</v>
      </c>
      <c r="K61" s="32">
        <f t="shared" ref="K61" si="178">K55+K59</f>
        <v>156.94999999999999</v>
      </c>
      <c r="L61" s="195">
        <f t="shared" ref="L61" si="179">L59+L55</f>
        <v>641.09999999999991</v>
      </c>
      <c r="M61" s="69">
        <f t="shared" ref="M61" si="180">M55+M59</f>
        <v>99.84</v>
      </c>
      <c r="N61" s="197">
        <f t="shared" ref="N61" si="181">N59+N55</f>
        <v>683.1</v>
      </c>
      <c r="O61" s="32">
        <f t="shared" ref="O61" si="182">O55+O59</f>
        <v>109.33</v>
      </c>
      <c r="P61" s="195">
        <f t="shared" ref="P61" si="183">P59+P55</f>
        <v>606.01</v>
      </c>
      <c r="Q61" s="69">
        <f t="shared" ref="Q61" si="184">Q55+Q59</f>
        <v>90.34</v>
      </c>
      <c r="R61" s="197">
        <f t="shared" ref="R61" si="185">R59+R55</f>
        <v>643.21</v>
      </c>
      <c r="S61" s="32">
        <f t="shared" ref="S61" si="186">S55+S59</f>
        <v>98.740000000000009</v>
      </c>
      <c r="T61" s="195">
        <f t="shared" ref="T61" si="187">T59+T55</f>
        <v>854.28</v>
      </c>
      <c r="U61" s="69">
        <f t="shared" ref="U61" si="188">U55+U59</f>
        <v>95.800000000000011</v>
      </c>
      <c r="V61" s="197">
        <f t="shared" ref="V61" si="189">V59+V55</f>
        <v>821.3</v>
      </c>
      <c r="W61" s="32">
        <f t="shared" ref="W61" si="190">W55+W59</f>
        <v>85.64</v>
      </c>
      <c r="X61" s="198">
        <f t="shared" ref="X61" si="191">X59+X55</f>
        <v>0</v>
      </c>
      <c r="Y61" s="199">
        <f t="shared" ref="Y61" si="192">Y55+Y59</f>
        <v>0</v>
      </c>
      <c r="Z61" s="197">
        <f t="shared" ref="Z61" si="193">Z59+Z55</f>
        <v>641.09999999999991</v>
      </c>
      <c r="AA61" s="32">
        <f t="shared" ref="AA61" si="194">AA55+AA59</f>
        <v>99.84</v>
      </c>
    </row>
    <row r="62" spans="1:30" ht="15">
      <c r="A62" s="266"/>
      <c r="B62" s="267"/>
      <c r="C62" s="267"/>
      <c r="D62" s="267"/>
      <c r="E62" s="267"/>
      <c r="F62" s="267"/>
      <c r="G62" s="19"/>
      <c r="H62" s="154"/>
      <c r="I62" s="154"/>
      <c r="J62" s="9"/>
      <c r="K62" s="9"/>
      <c r="L62" s="154"/>
      <c r="M62" s="154"/>
      <c r="N62" s="81"/>
      <c r="O62" s="81"/>
      <c r="P62" s="154"/>
      <c r="Q62" s="154"/>
      <c r="R62" s="81"/>
      <c r="S62" s="81"/>
      <c r="T62" s="154"/>
      <c r="U62" s="154"/>
      <c r="V62" s="81"/>
      <c r="W62" s="81"/>
      <c r="X62" s="203"/>
      <c r="Y62" s="203"/>
      <c r="Z62" s="9"/>
      <c r="AA62" s="9"/>
    </row>
    <row r="63" spans="1:30" ht="15" customHeight="1">
      <c r="A63" s="272" t="s">
        <v>111</v>
      </c>
      <c r="B63" s="272"/>
      <c r="C63" s="272"/>
      <c r="D63" s="272"/>
      <c r="E63" s="272"/>
      <c r="F63" s="266"/>
      <c r="G63" s="157"/>
      <c r="H63" s="154"/>
      <c r="I63" s="170"/>
      <c r="J63" s="9"/>
      <c r="K63" s="8"/>
      <c r="L63" s="154"/>
      <c r="M63" s="65"/>
      <c r="N63" s="81"/>
      <c r="O63" s="86"/>
      <c r="P63" s="154"/>
      <c r="Q63" s="65"/>
      <c r="R63" s="81"/>
      <c r="S63" s="86"/>
      <c r="T63" s="154"/>
      <c r="U63" s="65"/>
      <c r="V63" s="81"/>
      <c r="W63" s="86"/>
      <c r="X63" s="203"/>
      <c r="Y63" s="65"/>
      <c r="Z63" s="9"/>
      <c r="AA63" s="8"/>
    </row>
    <row r="64" spans="1:30" ht="26.25" customHeight="1">
      <c r="A64" s="276" t="s">
        <v>112</v>
      </c>
      <c r="B64" s="276"/>
      <c r="C64" s="276"/>
      <c r="D64" s="276"/>
      <c r="E64" s="276"/>
      <c r="F64" s="277"/>
      <c r="G64" s="202" t="s">
        <v>288</v>
      </c>
      <c r="H64" s="169"/>
      <c r="I64" s="69" t="s">
        <v>72</v>
      </c>
      <c r="J64" s="9"/>
      <c r="K64" s="32" t="s">
        <v>72</v>
      </c>
      <c r="L64" s="154"/>
      <c r="M64" s="69" t="s">
        <v>72</v>
      </c>
      <c r="N64" s="81"/>
      <c r="O64" s="90" t="s">
        <v>72</v>
      </c>
      <c r="P64" s="154"/>
      <c r="Q64" s="69" t="s">
        <v>72</v>
      </c>
      <c r="R64" s="81"/>
      <c r="S64" s="90" t="s">
        <v>72</v>
      </c>
      <c r="T64" s="154"/>
      <c r="U64" s="69" t="s">
        <v>72</v>
      </c>
      <c r="V64" s="81"/>
      <c r="W64" s="90" t="s">
        <v>72</v>
      </c>
      <c r="X64" s="203"/>
      <c r="Y64" s="69" t="s">
        <v>72</v>
      </c>
      <c r="Z64" s="9"/>
      <c r="AA64" s="32" t="s">
        <v>72</v>
      </c>
    </row>
    <row r="65" spans="1:27" ht="15" customHeight="1">
      <c r="A65" s="151" t="s">
        <v>15</v>
      </c>
      <c r="B65" s="225" t="s">
        <v>258</v>
      </c>
      <c r="C65" s="226"/>
      <c r="D65" s="226"/>
      <c r="E65" s="226"/>
      <c r="F65" s="227"/>
      <c r="G65" s="201">
        <f>'Memória de Cálculo - Encargos'!D39</f>
        <v>30</v>
      </c>
      <c r="H65" s="184">
        <f>$G65</f>
        <v>30</v>
      </c>
      <c r="I65" s="67">
        <f t="shared" ref="I65:I76" si="195">ROUND((((I$21+I$51+I$61)/30)*H65)/12,2)</f>
        <v>433.9</v>
      </c>
      <c r="J65" s="185">
        <f t="shared" ref="J65" si="196">$G65</f>
        <v>30</v>
      </c>
      <c r="K65" s="31">
        <f t="shared" ref="K65:K76" si="197">ROUND((((K$21+K$51+K$61)/30)*J65)/12,2)</f>
        <v>478.79</v>
      </c>
      <c r="L65" s="184">
        <f t="shared" ref="L65" si="198">$G65</f>
        <v>30</v>
      </c>
      <c r="M65" s="67">
        <f>ROUND((((M$21+M$51+M$61)/30)*L65)/12,2)</f>
        <v>297.97000000000003</v>
      </c>
      <c r="N65" s="185">
        <f t="shared" ref="N65" si="199">$G65</f>
        <v>30</v>
      </c>
      <c r="O65" s="31">
        <f t="shared" ref="O65:O76" si="200">ROUND((((O$21+O$51+O$61)/30)*N65)/12,2)</f>
        <v>328.03</v>
      </c>
      <c r="P65" s="184">
        <f t="shared" ref="P65" si="201">$G65</f>
        <v>30</v>
      </c>
      <c r="Q65" s="67">
        <f t="shared" ref="Q65:Q76" si="202">ROUND((((Q$21+Q$51+Q$61)/30)*P65)/12,2)</f>
        <v>267.26</v>
      </c>
      <c r="R65" s="185">
        <f t="shared" ref="R65" si="203">$G65</f>
        <v>30</v>
      </c>
      <c r="S65" s="31">
        <f t="shared" ref="S65:S76" si="204">ROUND((((S$21+S$51+S$61)/30)*R65)/12,2)</f>
        <v>293.88</v>
      </c>
      <c r="T65" s="184">
        <f t="shared" ref="T65" si="205">$G65</f>
        <v>30</v>
      </c>
      <c r="U65" s="67">
        <f t="shared" ref="U65:U76" si="206">ROUND((((U$21+U$51+U$61)/30)*T65)/12,2)</f>
        <v>264.17</v>
      </c>
      <c r="V65" s="185">
        <f t="shared" ref="V65" si="207">$G65</f>
        <v>30</v>
      </c>
      <c r="W65" s="31">
        <f t="shared" ref="W65:W76" si="208">ROUND((((W$21+W$51+W$61)/30)*V65)/12,2)</f>
        <v>230.93</v>
      </c>
      <c r="X65" s="184">
        <v>0</v>
      </c>
      <c r="Y65" s="67">
        <f t="shared" ref="Y65:Y76" si="209">ROUND((((Y$21+Y$51+Y$61)/30)*X65)/12,2)</f>
        <v>0</v>
      </c>
      <c r="Z65" s="185">
        <f t="shared" ref="Z65" si="210">$G65</f>
        <v>30</v>
      </c>
      <c r="AA65" s="31">
        <f t="shared" ref="AA65:AA76" si="211">ROUND((((AA$21+AA$51+AA$61)/30)*Z65)/12,2)</f>
        <v>297.97000000000003</v>
      </c>
    </row>
    <row r="66" spans="1:27" ht="15" customHeight="1">
      <c r="A66" s="151" t="s">
        <v>16</v>
      </c>
      <c r="B66" s="225" t="s">
        <v>259</v>
      </c>
      <c r="C66" s="226"/>
      <c r="D66" s="226"/>
      <c r="E66" s="226"/>
      <c r="F66" s="227"/>
      <c r="G66" s="201">
        <f>'Memória de Cálculo - Encargos'!D40</f>
        <v>5</v>
      </c>
      <c r="H66" s="184">
        <f t="shared" ref="H66:Z76" si="212">$G66</f>
        <v>5</v>
      </c>
      <c r="I66" s="67">
        <f t="shared" si="195"/>
        <v>72.319999999999993</v>
      </c>
      <c r="J66" s="185">
        <f t="shared" si="212"/>
        <v>5</v>
      </c>
      <c r="K66" s="31">
        <f t="shared" si="197"/>
        <v>79.8</v>
      </c>
      <c r="L66" s="184">
        <f t="shared" si="212"/>
        <v>5</v>
      </c>
      <c r="M66" s="67">
        <f t="shared" ref="M66:M76" si="213">ROUND((((M$21+M$51+M$61)/30)*L66)/12,2)</f>
        <v>49.66</v>
      </c>
      <c r="N66" s="185">
        <f t="shared" si="212"/>
        <v>5</v>
      </c>
      <c r="O66" s="31">
        <f t="shared" si="200"/>
        <v>54.67</v>
      </c>
      <c r="P66" s="184">
        <f t="shared" si="212"/>
        <v>5</v>
      </c>
      <c r="Q66" s="67">
        <f t="shared" si="202"/>
        <v>44.54</v>
      </c>
      <c r="R66" s="185">
        <f t="shared" si="212"/>
        <v>5</v>
      </c>
      <c r="S66" s="31">
        <f t="shared" si="204"/>
        <v>48.98</v>
      </c>
      <c r="T66" s="184">
        <f t="shared" si="212"/>
        <v>5</v>
      </c>
      <c r="U66" s="67">
        <f t="shared" si="206"/>
        <v>44.03</v>
      </c>
      <c r="V66" s="185">
        <f t="shared" si="212"/>
        <v>5</v>
      </c>
      <c r="W66" s="31">
        <f t="shared" si="208"/>
        <v>38.49</v>
      </c>
      <c r="X66" s="184">
        <f>$G66</f>
        <v>5</v>
      </c>
      <c r="Y66" s="67">
        <f t="shared" si="209"/>
        <v>43.29</v>
      </c>
      <c r="Z66" s="185">
        <f t="shared" si="212"/>
        <v>5</v>
      </c>
      <c r="AA66" s="31">
        <f t="shared" si="211"/>
        <v>49.66</v>
      </c>
    </row>
    <row r="67" spans="1:27" ht="15" customHeight="1">
      <c r="A67" s="151" t="s">
        <v>75</v>
      </c>
      <c r="B67" s="225" t="s">
        <v>260</v>
      </c>
      <c r="C67" s="226"/>
      <c r="D67" s="226"/>
      <c r="E67" s="226"/>
      <c r="F67" s="227"/>
      <c r="G67" s="201">
        <f>'Memória de Cálculo - Encargos'!D41</f>
        <v>0</v>
      </c>
      <c r="H67" s="184">
        <f t="shared" si="212"/>
        <v>0</v>
      </c>
      <c r="I67" s="67">
        <f t="shared" si="195"/>
        <v>0</v>
      </c>
      <c r="J67" s="185">
        <f t="shared" ref="J67:Z76" si="214">$G67</f>
        <v>0</v>
      </c>
      <c r="K67" s="31">
        <f t="shared" si="197"/>
        <v>0</v>
      </c>
      <c r="L67" s="184">
        <f t="shared" si="214"/>
        <v>0</v>
      </c>
      <c r="M67" s="67">
        <f t="shared" si="213"/>
        <v>0</v>
      </c>
      <c r="N67" s="185">
        <f t="shared" si="214"/>
        <v>0</v>
      </c>
      <c r="O67" s="31">
        <f t="shared" si="200"/>
        <v>0</v>
      </c>
      <c r="P67" s="184">
        <f t="shared" si="214"/>
        <v>0</v>
      </c>
      <c r="Q67" s="67">
        <f t="shared" si="202"/>
        <v>0</v>
      </c>
      <c r="R67" s="185">
        <f t="shared" si="214"/>
        <v>0</v>
      </c>
      <c r="S67" s="31">
        <f t="shared" si="204"/>
        <v>0</v>
      </c>
      <c r="T67" s="184">
        <f t="shared" si="214"/>
        <v>0</v>
      </c>
      <c r="U67" s="67">
        <f t="shared" si="206"/>
        <v>0</v>
      </c>
      <c r="V67" s="185">
        <f t="shared" si="214"/>
        <v>0</v>
      </c>
      <c r="W67" s="31">
        <f t="shared" si="208"/>
        <v>0</v>
      </c>
      <c r="X67" s="184">
        <f t="shared" ref="X67:X76" si="215">$G67</f>
        <v>0</v>
      </c>
      <c r="Y67" s="67">
        <f t="shared" si="209"/>
        <v>0</v>
      </c>
      <c r="Z67" s="185">
        <f t="shared" si="214"/>
        <v>0</v>
      </c>
      <c r="AA67" s="31">
        <f t="shared" si="211"/>
        <v>0</v>
      </c>
    </row>
    <row r="68" spans="1:27" ht="15" customHeight="1">
      <c r="A68" s="151" t="s">
        <v>18</v>
      </c>
      <c r="B68" s="225" t="s">
        <v>261</v>
      </c>
      <c r="C68" s="226"/>
      <c r="D68" s="226"/>
      <c r="E68" s="226"/>
      <c r="F68" s="227"/>
      <c r="G68" s="201">
        <f>'Memória de Cálculo - Encargos'!D42</f>
        <v>0</v>
      </c>
      <c r="H68" s="184">
        <f t="shared" si="212"/>
        <v>0</v>
      </c>
      <c r="I68" s="67">
        <f t="shared" si="195"/>
        <v>0</v>
      </c>
      <c r="J68" s="185">
        <f t="shared" si="214"/>
        <v>0</v>
      </c>
      <c r="K68" s="31">
        <f t="shared" si="197"/>
        <v>0</v>
      </c>
      <c r="L68" s="184">
        <f t="shared" si="214"/>
        <v>0</v>
      </c>
      <c r="M68" s="67">
        <f t="shared" si="213"/>
        <v>0</v>
      </c>
      <c r="N68" s="185">
        <f t="shared" si="214"/>
        <v>0</v>
      </c>
      <c r="O68" s="31">
        <f t="shared" si="200"/>
        <v>0</v>
      </c>
      <c r="P68" s="184">
        <f t="shared" si="214"/>
        <v>0</v>
      </c>
      <c r="Q68" s="67">
        <f t="shared" si="202"/>
        <v>0</v>
      </c>
      <c r="R68" s="185">
        <f t="shared" si="214"/>
        <v>0</v>
      </c>
      <c r="S68" s="31">
        <f t="shared" si="204"/>
        <v>0</v>
      </c>
      <c r="T68" s="184">
        <f t="shared" si="214"/>
        <v>0</v>
      </c>
      <c r="U68" s="67">
        <f t="shared" si="206"/>
        <v>0</v>
      </c>
      <c r="V68" s="185">
        <f t="shared" si="214"/>
        <v>0</v>
      </c>
      <c r="W68" s="31">
        <f t="shared" si="208"/>
        <v>0</v>
      </c>
      <c r="X68" s="184">
        <f t="shared" si="215"/>
        <v>0</v>
      </c>
      <c r="Y68" s="67">
        <f t="shared" si="209"/>
        <v>0</v>
      </c>
      <c r="Z68" s="185">
        <f t="shared" si="214"/>
        <v>0</v>
      </c>
      <c r="AA68" s="31">
        <f t="shared" si="211"/>
        <v>0</v>
      </c>
    </row>
    <row r="69" spans="1:27" ht="15">
      <c r="A69" s="151" t="s">
        <v>19</v>
      </c>
      <c r="B69" s="225" t="s">
        <v>262</v>
      </c>
      <c r="C69" s="226"/>
      <c r="D69" s="226"/>
      <c r="E69" s="226"/>
      <c r="F69" s="227"/>
      <c r="G69" s="201">
        <f>'Memória de Cálculo - Encargos'!D43</f>
        <v>0</v>
      </c>
      <c r="H69" s="184">
        <f t="shared" si="212"/>
        <v>0</v>
      </c>
      <c r="I69" s="67">
        <f t="shared" si="195"/>
        <v>0</v>
      </c>
      <c r="J69" s="185">
        <f t="shared" si="214"/>
        <v>0</v>
      </c>
      <c r="K69" s="31">
        <f t="shared" si="197"/>
        <v>0</v>
      </c>
      <c r="L69" s="184">
        <f t="shared" si="214"/>
        <v>0</v>
      </c>
      <c r="M69" s="67">
        <f t="shared" si="213"/>
        <v>0</v>
      </c>
      <c r="N69" s="185">
        <f t="shared" si="214"/>
        <v>0</v>
      </c>
      <c r="O69" s="31">
        <f t="shared" si="200"/>
        <v>0</v>
      </c>
      <c r="P69" s="184">
        <f t="shared" si="214"/>
        <v>0</v>
      </c>
      <c r="Q69" s="67">
        <f t="shared" si="202"/>
        <v>0</v>
      </c>
      <c r="R69" s="185">
        <f t="shared" si="214"/>
        <v>0</v>
      </c>
      <c r="S69" s="31">
        <f t="shared" si="204"/>
        <v>0</v>
      </c>
      <c r="T69" s="184">
        <f t="shared" si="214"/>
        <v>0</v>
      </c>
      <c r="U69" s="67">
        <f t="shared" si="206"/>
        <v>0</v>
      </c>
      <c r="V69" s="185">
        <f t="shared" si="214"/>
        <v>0</v>
      </c>
      <c r="W69" s="31">
        <f t="shared" si="208"/>
        <v>0</v>
      </c>
      <c r="X69" s="184">
        <f t="shared" si="215"/>
        <v>0</v>
      </c>
      <c r="Y69" s="67">
        <f t="shared" si="209"/>
        <v>0</v>
      </c>
      <c r="Z69" s="185">
        <f t="shared" si="214"/>
        <v>0</v>
      </c>
      <c r="AA69" s="31">
        <f t="shared" si="211"/>
        <v>0</v>
      </c>
    </row>
    <row r="70" spans="1:27" ht="15" customHeight="1">
      <c r="A70" s="151" t="s">
        <v>78</v>
      </c>
      <c r="B70" s="225" t="s">
        <v>263</v>
      </c>
      <c r="C70" s="226"/>
      <c r="D70" s="226"/>
      <c r="E70" s="226"/>
      <c r="F70" s="227"/>
      <c r="G70" s="201">
        <f>'Memória de Cálculo - Encargos'!D44</f>
        <v>0</v>
      </c>
      <c r="H70" s="184">
        <f t="shared" si="212"/>
        <v>0</v>
      </c>
      <c r="I70" s="67">
        <f t="shared" si="195"/>
        <v>0</v>
      </c>
      <c r="J70" s="185">
        <f t="shared" si="214"/>
        <v>0</v>
      </c>
      <c r="K70" s="31">
        <f t="shared" si="197"/>
        <v>0</v>
      </c>
      <c r="L70" s="184">
        <f t="shared" si="214"/>
        <v>0</v>
      </c>
      <c r="M70" s="67">
        <f t="shared" si="213"/>
        <v>0</v>
      </c>
      <c r="N70" s="185">
        <f t="shared" si="214"/>
        <v>0</v>
      </c>
      <c r="O70" s="31">
        <f t="shared" si="200"/>
        <v>0</v>
      </c>
      <c r="P70" s="184">
        <f t="shared" si="214"/>
        <v>0</v>
      </c>
      <c r="Q70" s="67">
        <f t="shared" si="202"/>
        <v>0</v>
      </c>
      <c r="R70" s="185">
        <f t="shared" si="214"/>
        <v>0</v>
      </c>
      <c r="S70" s="31">
        <f t="shared" si="204"/>
        <v>0</v>
      </c>
      <c r="T70" s="184">
        <f t="shared" si="214"/>
        <v>0</v>
      </c>
      <c r="U70" s="67">
        <f t="shared" si="206"/>
        <v>0</v>
      </c>
      <c r="V70" s="185">
        <f t="shared" si="214"/>
        <v>0</v>
      </c>
      <c r="W70" s="31">
        <f t="shared" si="208"/>
        <v>0</v>
      </c>
      <c r="X70" s="184">
        <f t="shared" si="215"/>
        <v>0</v>
      </c>
      <c r="Y70" s="67">
        <f t="shared" si="209"/>
        <v>0</v>
      </c>
      <c r="Z70" s="185">
        <f t="shared" si="214"/>
        <v>0</v>
      </c>
      <c r="AA70" s="31">
        <f t="shared" si="211"/>
        <v>0</v>
      </c>
    </row>
    <row r="71" spans="1:27" ht="15" customHeight="1">
      <c r="A71" s="183" t="s">
        <v>21</v>
      </c>
      <c r="B71" s="225" t="s">
        <v>264</v>
      </c>
      <c r="C71" s="226"/>
      <c r="D71" s="226"/>
      <c r="E71" s="226"/>
      <c r="F71" s="227"/>
      <c r="G71" s="201">
        <f>'Memória de Cálculo - Encargos'!D45</f>
        <v>0</v>
      </c>
      <c r="H71" s="184">
        <f t="shared" si="212"/>
        <v>0</v>
      </c>
      <c r="I71" s="67">
        <f t="shared" si="195"/>
        <v>0</v>
      </c>
      <c r="J71" s="185">
        <f t="shared" si="214"/>
        <v>0</v>
      </c>
      <c r="K71" s="31">
        <f t="shared" si="197"/>
        <v>0</v>
      </c>
      <c r="L71" s="184">
        <f t="shared" si="214"/>
        <v>0</v>
      </c>
      <c r="M71" s="67">
        <f t="shared" si="213"/>
        <v>0</v>
      </c>
      <c r="N71" s="185">
        <f t="shared" si="214"/>
        <v>0</v>
      </c>
      <c r="O71" s="31">
        <f t="shared" si="200"/>
        <v>0</v>
      </c>
      <c r="P71" s="184">
        <f t="shared" si="214"/>
        <v>0</v>
      </c>
      <c r="Q71" s="67">
        <f t="shared" si="202"/>
        <v>0</v>
      </c>
      <c r="R71" s="185">
        <f t="shared" si="214"/>
        <v>0</v>
      </c>
      <c r="S71" s="31">
        <f t="shared" si="204"/>
        <v>0</v>
      </c>
      <c r="T71" s="184">
        <f t="shared" si="214"/>
        <v>0</v>
      </c>
      <c r="U71" s="67">
        <f t="shared" si="206"/>
        <v>0</v>
      </c>
      <c r="V71" s="185">
        <f t="shared" si="214"/>
        <v>0</v>
      </c>
      <c r="W71" s="31">
        <f t="shared" si="208"/>
        <v>0</v>
      </c>
      <c r="X71" s="184">
        <f t="shared" si="215"/>
        <v>0</v>
      </c>
      <c r="Y71" s="67">
        <f t="shared" si="209"/>
        <v>0</v>
      </c>
      <c r="Z71" s="185">
        <f t="shared" si="214"/>
        <v>0</v>
      </c>
      <c r="AA71" s="31">
        <f t="shared" si="211"/>
        <v>0</v>
      </c>
    </row>
    <row r="72" spans="1:27" ht="15" customHeight="1">
      <c r="A72" s="183" t="s">
        <v>96</v>
      </c>
      <c r="B72" s="225" t="s">
        <v>265</v>
      </c>
      <c r="C72" s="226"/>
      <c r="D72" s="226"/>
      <c r="E72" s="226"/>
      <c r="F72" s="227"/>
      <c r="G72" s="201">
        <f>'Memória de Cálculo - Encargos'!D46</f>
        <v>0</v>
      </c>
      <c r="H72" s="184">
        <f t="shared" si="212"/>
        <v>0</v>
      </c>
      <c r="I72" s="67">
        <f t="shared" si="195"/>
        <v>0</v>
      </c>
      <c r="J72" s="185">
        <f t="shared" si="214"/>
        <v>0</v>
      </c>
      <c r="K72" s="31">
        <f t="shared" si="197"/>
        <v>0</v>
      </c>
      <c r="L72" s="184">
        <f t="shared" si="214"/>
        <v>0</v>
      </c>
      <c r="M72" s="67">
        <f t="shared" si="213"/>
        <v>0</v>
      </c>
      <c r="N72" s="185">
        <f t="shared" si="214"/>
        <v>0</v>
      </c>
      <c r="O72" s="31">
        <f t="shared" si="200"/>
        <v>0</v>
      </c>
      <c r="P72" s="184">
        <f t="shared" si="214"/>
        <v>0</v>
      </c>
      <c r="Q72" s="67">
        <f t="shared" si="202"/>
        <v>0</v>
      </c>
      <c r="R72" s="185">
        <f t="shared" si="214"/>
        <v>0</v>
      </c>
      <c r="S72" s="31">
        <f t="shared" si="204"/>
        <v>0</v>
      </c>
      <c r="T72" s="184">
        <f t="shared" si="214"/>
        <v>0</v>
      </c>
      <c r="U72" s="67">
        <f t="shared" si="206"/>
        <v>0</v>
      </c>
      <c r="V72" s="185">
        <f t="shared" si="214"/>
        <v>0</v>
      </c>
      <c r="W72" s="31">
        <f t="shared" si="208"/>
        <v>0</v>
      </c>
      <c r="X72" s="184">
        <f t="shared" si="215"/>
        <v>0</v>
      </c>
      <c r="Y72" s="67">
        <f t="shared" si="209"/>
        <v>0</v>
      </c>
      <c r="Z72" s="185">
        <f t="shared" si="214"/>
        <v>0</v>
      </c>
      <c r="AA72" s="31">
        <f t="shared" si="211"/>
        <v>0</v>
      </c>
    </row>
    <row r="73" spans="1:27" ht="15" customHeight="1">
      <c r="A73" s="183" t="s">
        <v>270</v>
      </c>
      <c r="B73" s="225" t="s">
        <v>266</v>
      </c>
      <c r="C73" s="226"/>
      <c r="D73" s="226"/>
      <c r="E73" s="226"/>
      <c r="F73" s="227"/>
      <c r="G73" s="201">
        <f>'Memória de Cálculo - Encargos'!D47</f>
        <v>0</v>
      </c>
      <c r="H73" s="184">
        <f t="shared" si="212"/>
        <v>0</v>
      </c>
      <c r="I73" s="67">
        <f t="shared" si="195"/>
        <v>0</v>
      </c>
      <c r="J73" s="185">
        <f t="shared" si="214"/>
        <v>0</v>
      </c>
      <c r="K73" s="31">
        <f t="shared" si="197"/>
        <v>0</v>
      </c>
      <c r="L73" s="184">
        <f t="shared" si="214"/>
        <v>0</v>
      </c>
      <c r="M73" s="67">
        <f t="shared" si="213"/>
        <v>0</v>
      </c>
      <c r="N73" s="185">
        <f t="shared" si="214"/>
        <v>0</v>
      </c>
      <c r="O73" s="31">
        <f t="shared" si="200"/>
        <v>0</v>
      </c>
      <c r="P73" s="184">
        <f t="shared" si="214"/>
        <v>0</v>
      </c>
      <c r="Q73" s="67">
        <f t="shared" si="202"/>
        <v>0</v>
      </c>
      <c r="R73" s="185">
        <f t="shared" si="214"/>
        <v>0</v>
      </c>
      <c r="S73" s="31">
        <f t="shared" si="204"/>
        <v>0</v>
      </c>
      <c r="T73" s="184">
        <f t="shared" si="214"/>
        <v>0</v>
      </c>
      <c r="U73" s="67">
        <f t="shared" si="206"/>
        <v>0</v>
      </c>
      <c r="V73" s="185">
        <f t="shared" si="214"/>
        <v>0</v>
      </c>
      <c r="W73" s="31">
        <f t="shared" si="208"/>
        <v>0</v>
      </c>
      <c r="X73" s="184">
        <f t="shared" si="215"/>
        <v>0</v>
      </c>
      <c r="Y73" s="67">
        <f t="shared" si="209"/>
        <v>0</v>
      </c>
      <c r="Z73" s="185">
        <f t="shared" si="214"/>
        <v>0</v>
      </c>
      <c r="AA73" s="31">
        <f t="shared" si="211"/>
        <v>0</v>
      </c>
    </row>
    <row r="74" spans="1:27" ht="15" customHeight="1">
      <c r="A74" s="183" t="s">
        <v>271</v>
      </c>
      <c r="B74" s="225" t="s">
        <v>267</v>
      </c>
      <c r="C74" s="226"/>
      <c r="D74" s="226"/>
      <c r="E74" s="226"/>
      <c r="F74" s="227"/>
      <c r="G74" s="201">
        <f>'Memória de Cálculo - Encargos'!D48</f>
        <v>0</v>
      </c>
      <c r="H74" s="184">
        <f t="shared" si="212"/>
        <v>0</v>
      </c>
      <c r="I74" s="67">
        <f t="shared" si="195"/>
        <v>0</v>
      </c>
      <c r="J74" s="185">
        <f t="shared" si="214"/>
        <v>0</v>
      </c>
      <c r="K74" s="31">
        <f t="shared" si="197"/>
        <v>0</v>
      </c>
      <c r="L74" s="184">
        <f t="shared" si="214"/>
        <v>0</v>
      </c>
      <c r="M74" s="67">
        <f t="shared" si="213"/>
        <v>0</v>
      </c>
      <c r="N74" s="185">
        <f t="shared" si="214"/>
        <v>0</v>
      </c>
      <c r="O74" s="31">
        <f t="shared" si="200"/>
        <v>0</v>
      </c>
      <c r="P74" s="184">
        <f t="shared" si="214"/>
        <v>0</v>
      </c>
      <c r="Q74" s="67">
        <f t="shared" si="202"/>
        <v>0</v>
      </c>
      <c r="R74" s="185">
        <f t="shared" si="214"/>
        <v>0</v>
      </c>
      <c r="S74" s="31">
        <f t="shared" si="204"/>
        <v>0</v>
      </c>
      <c r="T74" s="184">
        <f t="shared" si="214"/>
        <v>0</v>
      </c>
      <c r="U74" s="67">
        <f t="shared" si="206"/>
        <v>0</v>
      </c>
      <c r="V74" s="185">
        <f t="shared" si="214"/>
        <v>0</v>
      </c>
      <c r="W74" s="31">
        <f t="shared" si="208"/>
        <v>0</v>
      </c>
      <c r="X74" s="184">
        <f t="shared" si="215"/>
        <v>0</v>
      </c>
      <c r="Y74" s="67">
        <f t="shared" si="209"/>
        <v>0</v>
      </c>
      <c r="Z74" s="185">
        <f t="shared" si="214"/>
        <v>0</v>
      </c>
      <c r="AA74" s="31">
        <f t="shared" si="211"/>
        <v>0</v>
      </c>
    </row>
    <row r="75" spans="1:27" ht="15" customHeight="1">
      <c r="A75" s="183" t="s">
        <v>272</v>
      </c>
      <c r="B75" s="225" t="s">
        <v>268</v>
      </c>
      <c r="C75" s="226"/>
      <c r="D75" s="226"/>
      <c r="E75" s="226"/>
      <c r="F75" s="227"/>
      <c r="G75" s="201">
        <f>'Memória de Cálculo - Encargos'!D49</f>
        <v>0</v>
      </c>
      <c r="H75" s="184">
        <f t="shared" si="212"/>
        <v>0</v>
      </c>
      <c r="I75" s="67">
        <f t="shared" si="195"/>
        <v>0</v>
      </c>
      <c r="J75" s="185">
        <f t="shared" si="214"/>
        <v>0</v>
      </c>
      <c r="K75" s="31">
        <f t="shared" si="197"/>
        <v>0</v>
      </c>
      <c r="L75" s="184">
        <f t="shared" si="214"/>
        <v>0</v>
      </c>
      <c r="M75" s="67">
        <f t="shared" si="213"/>
        <v>0</v>
      </c>
      <c r="N75" s="185">
        <f t="shared" si="214"/>
        <v>0</v>
      </c>
      <c r="O75" s="31">
        <f t="shared" si="200"/>
        <v>0</v>
      </c>
      <c r="P75" s="184">
        <f t="shared" si="214"/>
        <v>0</v>
      </c>
      <c r="Q75" s="67">
        <f t="shared" si="202"/>
        <v>0</v>
      </c>
      <c r="R75" s="185">
        <f t="shared" si="214"/>
        <v>0</v>
      </c>
      <c r="S75" s="31">
        <f t="shared" si="204"/>
        <v>0</v>
      </c>
      <c r="T75" s="184">
        <f t="shared" si="214"/>
        <v>0</v>
      </c>
      <c r="U75" s="67">
        <f t="shared" si="206"/>
        <v>0</v>
      </c>
      <c r="V75" s="185">
        <f t="shared" si="214"/>
        <v>0</v>
      </c>
      <c r="W75" s="31">
        <f t="shared" si="208"/>
        <v>0</v>
      </c>
      <c r="X75" s="184">
        <f t="shared" si="215"/>
        <v>0</v>
      </c>
      <c r="Y75" s="67">
        <f t="shared" si="209"/>
        <v>0</v>
      </c>
      <c r="Z75" s="185">
        <f t="shared" si="214"/>
        <v>0</v>
      </c>
      <c r="AA75" s="31">
        <f t="shared" si="211"/>
        <v>0</v>
      </c>
    </row>
    <row r="76" spans="1:27" ht="15" customHeight="1">
      <c r="A76" s="183" t="s">
        <v>273</v>
      </c>
      <c r="B76" s="225" t="s">
        <v>269</v>
      </c>
      <c r="C76" s="226"/>
      <c r="D76" s="226"/>
      <c r="E76" s="226"/>
      <c r="F76" s="227"/>
      <c r="G76" s="201">
        <f>'Memória de Cálculo - Encargos'!D50</f>
        <v>0</v>
      </c>
      <c r="H76" s="184">
        <f t="shared" si="212"/>
        <v>0</v>
      </c>
      <c r="I76" s="67">
        <f t="shared" si="195"/>
        <v>0</v>
      </c>
      <c r="J76" s="185">
        <f t="shared" si="214"/>
        <v>0</v>
      </c>
      <c r="K76" s="31">
        <f t="shared" si="197"/>
        <v>0</v>
      </c>
      <c r="L76" s="184">
        <f t="shared" si="214"/>
        <v>0</v>
      </c>
      <c r="M76" s="67">
        <f t="shared" si="213"/>
        <v>0</v>
      </c>
      <c r="N76" s="185">
        <f t="shared" si="214"/>
        <v>0</v>
      </c>
      <c r="O76" s="31">
        <f t="shared" si="200"/>
        <v>0</v>
      </c>
      <c r="P76" s="184">
        <f t="shared" si="214"/>
        <v>0</v>
      </c>
      <c r="Q76" s="67">
        <f t="shared" si="202"/>
        <v>0</v>
      </c>
      <c r="R76" s="185">
        <f t="shared" si="214"/>
        <v>0</v>
      </c>
      <c r="S76" s="31">
        <f t="shared" si="204"/>
        <v>0</v>
      </c>
      <c r="T76" s="184">
        <f t="shared" si="214"/>
        <v>0</v>
      </c>
      <c r="U76" s="67">
        <f t="shared" si="206"/>
        <v>0</v>
      </c>
      <c r="V76" s="185">
        <f t="shared" si="214"/>
        <v>0</v>
      </c>
      <c r="W76" s="31">
        <f t="shared" si="208"/>
        <v>0</v>
      </c>
      <c r="X76" s="184">
        <f t="shared" si="215"/>
        <v>0</v>
      </c>
      <c r="Y76" s="67">
        <f t="shared" si="209"/>
        <v>0</v>
      </c>
      <c r="Z76" s="185">
        <f t="shared" si="214"/>
        <v>0</v>
      </c>
      <c r="AA76" s="31">
        <f t="shared" si="211"/>
        <v>0</v>
      </c>
    </row>
    <row r="77" spans="1:27" ht="15" customHeight="1">
      <c r="A77" s="231" t="s">
        <v>113</v>
      </c>
      <c r="B77" s="231"/>
      <c r="C77" s="231"/>
      <c r="D77" s="231"/>
      <c r="E77" s="231"/>
      <c r="F77" s="232"/>
      <c r="G77" s="186">
        <f>SUM(G65:G76)</f>
        <v>35</v>
      </c>
      <c r="H77" s="187">
        <f t="shared" ref="H77:I77" si="216">SUM(H65:H76)</f>
        <v>35</v>
      </c>
      <c r="I77" s="69">
        <f t="shared" si="216"/>
        <v>506.21999999999997</v>
      </c>
      <c r="J77" s="186">
        <f t="shared" ref="J77:AA77" si="217">SUM(J65:J76)</f>
        <v>35</v>
      </c>
      <c r="K77" s="32">
        <f t="shared" si="217"/>
        <v>558.59</v>
      </c>
      <c r="L77" s="187">
        <f t="shared" si="217"/>
        <v>35</v>
      </c>
      <c r="M77" s="69">
        <f t="shared" si="217"/>
        <v>347.63</v>
      </c>
      <c r="N77" s="186">
        <f t="shared" si="217"/>
        <v>35</v>
      </c>
      <c r="O77" s="32">
        <f t="shared" si="217"/>
        <v>382.7</v>
      </c>
      <c r="P77" s="187">
        <f t="shared" si="217"/>
        <v>35</v>
      </c>
      <c r="Q77" s="69">
        <f t="shared" si="217"/>
        <v>311.8</v>
      </c>
      <c r="R77" s="186">
        <f t="shared" si="217"/>
        <v>35</v>
      </c>
      <c r="S77" s="32">
        <f t="shared" si="217"/>
        <v>342.86</v>
      </c>
      <c r="T77" s="187">
        <f t="shared" si="217"/>
        <v>35</v>
      </c>
      <c r="U77" s="69">
        <f t="shared" si="217"/>
        <v>308.20000000000005</v>
      </c>
      <c r="V77" s="186">
        <f t="shared" si="217"/>
        <v>35</v>
      </c>
      <c r="W77" s="32">
        <f t="shared" si="217"/>
        <v>269.42</v>
      </c>
      <c r="X77" s="187">
        <f>SUM(X65:X76)</f>
        <v>5</v>
      </c>
      <c r="Y77" s="69">
        <f>SUM(Y65:Y76)</f>
        <v>43.29</v>
      </c>
      <c r="Z77" s="186">
        <f t="shared" si="217"/>
        <v>35</v>
      </c>
      <c r="AA77" s="32">
        <f t="shared" si="217"/>
        <v>347.63</v>
      </c>
    </row>
    <row r="78" spans="1:27" ht="15">
      <c r="A78" s="278"/>
      <c r="B78" s="278"/>
      <c r="C78" s="278"/>
      <c r="D78" s="278"/>
      <c r="E78" s="278"/>
      <c r="F78" s="270"/>
      <c r="G78" s="157"/>
      <c r="H78" s="154"/>
      <c r="I78" s="65"/>
      <c r="J78" s="9"/>
      <c r="K78" s="8"/>
      <c r="L78" s="154"/>
      <c r="M78" s="65"/>
      <c r="N78" s="81"/>
      <c r="O78" s="86"/>
      <c r="P78" s="154"/>
      <c r="Q78" s="65"/>
      <c r="R78" s="81"/>
      <c r="S78" s="86"/>
      <c r="T78" s="154"/>
      <c r="U78" s="65"/>
      <c r="V78" s="81"/>
      <c r="W78" s="86"/>
      <c r="X78" s="203"/>
      <c r="Y78" s="65"/>
      <c r="Z78" s="9"/>
      <c r="AA78" s="8"/>
    </row>
    <row r="79" spans="1:27" ht="15" customHeight="1">
      <c r="A79" s="276" t="s">
        <v>114</v>
      </c>
      <c r="B79" s="276"/>
      <c r="C79" s="276"/>
      <c r="D79" s="276"/>
      <c r="E79" s="276"/>
      <c r="F79" s="277"/>
      <c r="G79" s="157"/>
      <c r="H79" s="154"/>
      <c r="I79" s="65"/>
      <c r="J79" s="9"/>
      <c r="K79" s="8"/>
      <c r="L79" s="154"/>
      <c r="M79" s="65"/>
      <c r="N79" s="81"/>
      <c r="O79" s="86"/>
      <c r="P79" s="154"/>
      <c r="Q79" s="65"/>
      <c r="R79" s="81"/>
      <c r="S79" s="86"/>
      <c r="T79" s="154"/>
      <c r="U79" s="65"/>
      <c r="V79" s="81"/>
      <c r="W79" s="86"/>
      <c r="X79" s="203"/>
      <c r="Y79" s="65"/>
      <c r="Z79" s="9"/>
      <c r="AA79" s="8"/>
    </row>
    <row r="80" spans="1:27" ht="15" customHeight="1">
      <c r="A80" s="224" t="s">
        <v>115</v>
      </c>
      <c r="B80" s="224"/>
      <c r="C80" s="224"/>
      <c r="D80" s="224"/>
      <c r="E80" s="224"/>
      <c r="F80" s="280"/>
      <c r="G80" s="157"/>
      <c r="H80" s="154"/>
      <c r="I80" s="154" t="s">
        <v>72</v>
      </c>
      <c r="J80" s="9"/>
      <c r="K80" s="9" t="s">
        <v>72</v>
      </c>
      <c r="L80" s="154"/>
      <c r="M80" s="154" t="s">
        <v>72</v>
      </c>
      <c r="N80" s="81"/>
      <c r="O80" s="81" t="s">
        <v>72</v>
      </c>
      <c r="P80" s="154"/>
      <c r="Q80" s="154" t="s">
        <v>72</v>
      </c>
      <c r="R80" s="81"/>
      <c r="S80" s="81" t="s">
        <v>72</v>
      </c>
      <c r="T80" s="154"/>
      <c r="U80" s="154" t="s">
        <v>72</v>
      </c>
      <c r="V80" s="81"/>
      <c r="W80" s="81" t="s">
        <v>72</v>
      </c>
      <c r="X80" s="203"/>
      <c r="Y80" s="203" t="s">
        <v>72</v>
      </c>
      <c r="Z80" s="9"/>
      <c r="AA80" s="9" t="s">
        <v>72</v>
      </c>
    </row>
    <row r="81" spans="1:27" ht="15" customHeight="1">
      <c r="A81" s="151">
        <v>1</v>
      </c>
      <c r="B81" s="228" t="s">
        <v>116</v>
      </c>
      <c r="C81" s="228"/>
      <c r="D81" s="228"/>
      <c r="E81" s="228"/>
      <c r="F81" s="225"/>
      <c r="G81" s="156"/>
      <c r="H81" s="74">
        <v>0</v>
      </c>
      <c r="I81" s="75">
        <f>H81*I21</f>
        <v>0</v>
      </c>
      <c r="J81" s="10">
        <v>0</v>
      </c>
      <c r="K81" s="12">
        <f>J81*K21</f>
        <v>0</v>
      </c>
      <c r="L81" s="74">
        <v>0</v>
      </c>
      <c r="M81" s="75">
        <f>L81*M21</f>
        <v>0</v>
      </c>
      <c r="N81" s="94">
        <v>0</v>
      </c>
      <c r="O81" s="95">
        <f>N81*O21</f>
        <v>0</v>
      </c>
      <c r="P81" s="74">
        <v>0</v>
      </c>
      <c r="Q81" s="75">
        <f>P81*Q21</f>
        <v>0</v>
      </c>
      <c r="R81" s="94">
        <v>0</v>
      </c>
      <c r="S81" s="95">
        <f>R81*S21</f>
        <v>0</v>
      </c>
      <c r="T81" s="74">
        <v>0</v>
      </c>
      <c r="U81" s="75">
        <f>T81*U21</f>
        <v>0</v>
      </c>
      <c r="V81" s="94">
        <v>0</v>
      </c>
      <c r="W81" s="95">
        <f>V81*W21</f>
        <v>0</v>
      </c>
      <c r="X81" s="74">
        <v>0</v>
      </c>
      <c r="Y81" s="75">
        <f>X81*Y21</f>
        <v>0</v>
      </c>
      <c r="Z81" s="10">
        <v>0</v>
      </c>
      <c r="AA81" s="12">
        <f>Z81*AA21</f>
        <v>0</v>
      </c>
    </row>
    <row r="82" spans="1:27" ht="15" customHeight="1">
      <c r="A82" s="231" t="s">
        <v>117</v>
      </c>
      <c r="B82" s="231"/>
      <c r="C82" s="231"/>
      <c r="D82" s="231"/>
      <c r="E82" s="231"/>
      <c r="F82" s="232"/>
      <c r="G82" s="157"/>
      <c r="H82" s="68">
        <f t="shared" ref="H82:W82" si="218">SUM(H81:H81)</f>
        <v>0</v>
      </c>
      <c r="I82" s="70">
        <f t="shared" si="218"/>
        <v>0</v>
      </c>
      <c r="J82" s="11">
        <f t="shared" si="218"/>
        <v>0</v>
      </c>
      <c r="K82" s="13">
        <f t="shared" si="218"/>
        <v>0</v>
      </c>
      <c r="L82" s="68">
        <f t="shared" ref="L82" si="219">SUM(L81:L81)</f>
        <v>0</v>
      </c>
      <c r="M82" s="70">
        <f t="shared" ref="M82" si="220">SUM(M81:M81)</f>
        <v>0</v>
      </c>
      <c r="N82" s="89">
        <f t="shared" ref="N82" si="221">SUM(N81:N81)</f>
        <v>0</v>
      </c>
      <c r="O82" s="91">
        <f t="shared" ref="O82" si="222">SUM(O81:O81)</f>
        <v>0</v>
      </c>
      <c r="P82" s="68">
        <f t="shared" ref="P82" si="223">SUM(P81:P81)</f>
        <v>0</v>
      </c>
      <c r="Q82" s="70">
        <f t="shared" ref="Q82" si="224">SUM(Q81:Q81)</f>
        <v>0</v>
      </c>
      <c r="R82" s="89">
        <f t="shared" ref="R82" si="225">SUM(R81:R81)</f>
        <v>0</v>
      </c>
      <c r="S82" s="91">
        <f t="shared" ref="S82" si="226">SUM(S81:S81)</f>
        <v>0</v>
      </c>
      <c r="T82" s="68">
        <f t="shared" si="218"/>
        <v>0</v>
      </c>
      <c r="U82" s="70">
        <f t="shared" si="218"/>
        <v>0</v>
      </c>
      <c r="V82" s="89">
        <f t="shared" si="218"/>
        <v>0</v>
      </c>
      <c r="W82" s="91">
        <f t="shared" si="218"/>
        <v>0</v>
      </c>
      <c r="X82" s="68">
        <f>SUM(X81:X81)</f>
        <v>0</v>
      </c>
      <c r="Y82" s="70">
        <f>SUM(Y81:Y81)</f>
        <v>0</v>
      </c>
      <c r="Z82" s="11">
        <f t="shared" ref="Z82" si="227">SUM(Z81:Z81)</f>
        <v>0</v>
      </c>
      <c r="AA82" s="13">
        <f t="shared" ref="AA82" si="228">SUM(AA81:AA81)</f>
        <v>0</v>
      </c>
    </row>
    <row r="83" spans="1:27" ht="15">
      <c r="A83" s="275"/>
      <c r="B83" s="271"/>
      <c r="C83" s="271"/>
      <c r="D83" s="271"/>
      <c r="E83" s="271"/>
      <c r="F83" s="271"/>
      <c r="G83" s="19"/>
      <c r="H83" s="154"/>
      <c r="I83" s="65"/>
      <c r="J83" s="9"/>
      <c r="K83" s="8"/>
      <c r="L83" s="154"/>
      <c r="M83" s="65"/>
      <c r="N83" s="81"/>
      <c r="O83" s="86"/>
      <c r="P83" s="154"/>
      <c r="Q83" s="65"/>
      <c r="R83" s="81"/>
      <c r="S83" s="86"/>
      <c r="T83" s="154"/>
      <c r="U83" s="65"/>
      <c r="V83" s="81"/>
      <c r="W83" s="86"/>
      <c r="X83" s="203"/>
      <c r="Y83" s="65"/>
      <c r="Z83" s="9"/>
      <c r="AA83" s="8"/>
    </row>
    <row r="84" spans="1:27" ht="27" customHeight="1">
      <c r="A84" s="287" t="s">
        <v>118</v>
      </c>
      <c r="B84" s="288"/>
      <c r="C84" s="288"/>
      <c r="D84" s="288"/>
      <c r="E84" s="288"/>
      <c r="F84" s="288"/>
      <c r="G84" s="33"/>
      <c r="H84" s="71"/>
      <c r="I84" s="154" t="s">
        <v>72</v>
      </c>
      <c r="J84" s="33"/>
      <c r="K84" s="9" t="s">
        <v>72</v>
      </c>
      <c r="L84" s="71"/>
      <c r="M84" s="154" t="s">
        <v>72</v>
      </c>
      <c r="N84" s="92"/>
      <c r="O84" s="81" t="s">
        <v>72</v>
      </c>
      <c r="P84" s="71"/>
      <c r="Q84" s="154" t="s">
        <v>72</v>
      </c>
      <c r="R84" s="92"/>
      <c r="S84" s="81" t="s">
        <v>72</v>
      </c>
      <c r="T84" s="71"/>
      <c r="U84" s="154" t="s">
        <v>72</v>
      </c>
      <c r="V84" s="92"/>
      <c r="W84" s="81" t="s">
        <v>72</v>
      </c>
      <c r="X84" s="71"/>
      <c r="Y84" s="203" t="s">
        <v>72</v>
      </c>
      <c r="Z84" s="33"/>
      <c r="AA84" s="9" t="s">
        <v>72</v>
      </c>
    </row>
    <row r="85" spans="1:27" ht="31.5" customHeight="1">
      <c r="A85" s="5" t="s">
        <v>119</v>
      </c>
      <c r="B85" s="234" t="str">
        <f>A64</f>
        <v>Submódulo 4.1 COMPOSIÇÃO DO CUSTO DE REPOSIÇÃO DO PROFISISONAL AUSENTE</v>
      </c>
      <c r="C85" s="289"/>
      <c r="D85" s="289"/>
      <c r="E85" s="289"/>
      <c r="F85" s="289"/>
      <c r="G85" s="22"/>
      <c r="H85" s="155"/>
      <c r="I85" s="69">
        <f>I77</f>
        <v>506.21999999999997</v>
      </c>
      <c r="J85" s="22"/>
      <c r="K85" s="32">
        <f>K77</f>
        <v>558.59</v>
      </c>
      <c r="L85" s="155"/>
      <c r="M85" s="69">
        <f>M77</f>
        <v>347.63</v>
      </c>
      <c r="N85" s="82"/>
      <c r="O85" s="90">
        <f>O77</f>
        <v>382.7</v>
      </c>
      <c r="P85" s="155"/>
      <c r="Q85" s="69">
        <f>Q77</f>
        <v>311.8</v>
      </c>
      <c r="R85" s="82"/>
      <c r="S85" s="90">
        <f>S77</f>
        <v>342.86</v>
      </c>
      <c r="T85" s="155"/>
      <c r="U85" s="69">
        <f>U77</f>
        <v>308.20000000000005</v>
      </c>
      <c r="V85" s="82"/>
      <c r="W85" s="90">
        <f>W77</f>
        <v>269.42</v>
      </c>
      <c r="X85" s="204"/>
      <c r="Y85" s="69">
        <f>Y77</f>
        <v>43.29</v>
      </c>
      <c r="Z85" s="22"/>
      <c r="AA85" s="32">
        <f>AA77</f>
        <v>347.63</v>
      </c>
    </row>
    <row r="86" spans="1:27" ht="20.25" customHeight="1">
      <c r="A86" s="5" t="s">
        <v>120</v>
      </c>
      <c r="B86" s="234" t="str">
        <f>A79</f>
        <v>Submódulo 4.2 INTRAJORNADA</v>
      </c>
      <c r="C86" s="289"/>
      <c r="D86" s="289"/>
      <c r="E86" s="289"/>
      <c r="F86" s="289"/>
      <c r="G86" s="22"/>
      <c r="H86" s="155"/>
      <c r="I86" s="69">
        <f>I82</f>
        <v>0</v>
      </c>
      <c r="J86" s="22"/>
      <c r="K86" s="32">
        <f>K82</f>
        <v>0</v>
      </c>
      <c r="L86" s="155"/>
      <c r="M86" s="69">
        <f>M82</f>
        <v>0</v>
      </c>
      <c r="N86" s="82"/>
      <c r="O86" s="90">
        <f>O82</f>
        <v>0</v>
      </c>
      <c r="P86" s="155"/>
      <c r="Q86" s="69">
        <f>Q82</f>
        <v>0</v>
      </c>
      <c r="R86" s="82"/>
      <c r="S86" s="90">
        <f>S82</f>
        <v>0</v>
      </c>
      <c r="T86" s="155"/>
      <c r="U86" s="69">
        <f>U82</f>
        <v>0</v>
      </c>
      <c r="V86" s="82"/>
      <c r="W86" s="90">
        <f>W82</f>
        <v>0</v>
      </c>
      <c r="X86" s="204"/>
      <c r="Y86" s="69">
        <f>Y82</f>
        <v>0</v>
      </c>
      <c r="Z86" s="22"/>
      <c r="AA86" s="32">
        <f>AA82</f>
        <v>0</v>
      </c>
    </row>
    <row r="87" spans="1:27" ht="15">
      <c r="A87" s="283" t="s">
        <v>105</v>
      </c>
      <c r="B87" s="284"/>
      <c r="C87" s="284"/>
      <c r="D87" s="284"/>
      <c r="E87" s="284"/>
      <c r="F87" s="284"/>
      <c r="G87" s="9"/>
      <c r="H87" s="154"/>
      <c r="I87" s="69">
        <f>SUM(I85:I86)</f>
        <v>506.21999999999997</v>
      </c>
      <c r="J87" s="9"/>
      <c r="K87" s="32">
        <f>SUM(K85:K86)</f>
        <v>558.59</v>
      </c>
      <c r="L87" s="154"/>
      <c r="M87" s="69">
        <f>SUM(M85:M86)</f>
        <v>347.63</v>
      </c>
      <c r="N87" s="81"/>
      <c r="O87" s="90">
        <f>SUM(O85:O86)</f>
        <v>382.7</v>
      </c>
      <c r="P87" s="154"/>
      <c r="Q87" s="69">
        <f>SUM(Q85:Q86)</f>
        <v>311.8</v>
      </c>
      <c r="R87" s="81"/>
      <c r="S87" s="90">
        <f>SUM(S85:S86)</f>
        <v>342.86</v>
      </c>
      <c r="T87" s="154"/>
      <c r="U87" s="69">
        <f>SUM(U85:U86)</f>
        <v>308.20000000000005</v>
      </c>
      <c r="V87" s="81"/>
      <c r="W87" s="90">
        <f>SUM(W85:W86)</f>
        <v>269.42</v>
      </c>
      <c r="X87" s="203"/>
      <c r="Y87" s="69">
        <f>SUM(Y85:Y86)</f>
        <v>43.29</v>
      </c>
      <c r="Z87" s="9"/>
      <c r="AA87" s="32">
        <f>SUM(AA85:AA86)</f>
        <v>347.63</v>
      </c>
    </row>
    <row r="88" spans="1:27" ht="15">
      <c r="A88" s="275"/>
      <c r="B88" s="271"/>
      <c r="C88" s="271"/>
      <c r="D88" s="271"/>
      <c r="E88" s="271"/>
      <c r="F88" s="271"/>
      <c r="G88" s="9"/>
      <c r="H88" s="154"/>
      <c r="I88" s="154"/>
      <c r="J88" s="9"/>
      <c r="K88" s="9"/>
      <c r="L88" s="154"/>
      <c r="M88" s="154"/>
      <c r="N88" s="81"/>
      <c r="O88" s="81"/>
      <c r="P88" s="154"/>
      <c r="Q88" s="154"/>
      <c r="R88" s="81"/>
      <c r="S88" s="81"/>
      <c r="T88" s="154"/>
      <c r="U88" s="154"/>
      <c r="V88" s="81"/>
      <c r="W88" s="81"/>
      <c r="X88" s="203"/>
      <c r="Y88" s="203"/>
      <c r="Z88" s="9"/>
      <c r="AA88" s="9"/>
    </row>
    <row r="89" spans="1:27" ht="15" customHeight="1">
      <c r="A89" s="272" t="s">
        <v>121</v>
      </c>
      <c r="B89" s="272"/>
      <c r="C89" s="272"/>
      <c r="D89" s="272"/>
      <c r="E89" s="272"/>
      <c r="F89" s="266"/>
      <c r="G89" s="9"/>
      <c r="H89" s="154"/>
      <c r="I89" s="154" t="s">
        <v>72</v>
      </c>
      <c r="J89" s="9"/>
      <c r="K89" s="9" t="s">
        <v>72</v>
      </c>
      <c r="L89" s="154"/>
      <c r="M89" s="154" t="s">
        <v>72</v>
      </c>
      <c r="N89" s="81"/>
      <c r="O89" s="81" t="s">
        <v>72</v>
      </c>
      <c r="P89" s="154"/>
      <c r="Q89" s="154" t="s">
        <v>72</v>
      </c>
      <c r="R89" s="81"/>
      <c r="S89" s="81" t="s">
        <v>72</v>
      </c>
      <c r="T89" s="154"/>
      <c r="U89" s="154" t="s">
        <v>72</v>
      </c>
      <c r="V89" s="81"/>
      <c r="W89" s="81" t="s">
        <v>72</v>
      </c>
      <c r="X89" s="203"/>
      <c r="Y89" s="203" t="s">
        <v>72</v>
      </c>
      <c r="Z89" s="9"/>
      <c r="AA89" s="9" t="s">
        <v>72</v>
      </c>
    </row>
    <row r="90" spans="1:27" ht="15">
      <c r="A90" s="151">
        <v>1</v>
      </c>
      <c r="B90" s="273" t="s">
        <v>122</v>
      </c>
      <c r="C90" s="273"/>
      <c r="D90" s="273"/>
      <c r="E90" s="273"/>
      <c r="F90" s="274"/>
      <c r="G90" s="31">
        <f>'Memória Calc-Uniform. + Relógio'!$G$16</f>
        <v>104.65833333333332</v>
      </c>
      <c r="H90" s="76"/>
      <c r="I90" s="140">
        <f>$G90</f>
        <v>104.65833333333332</v>
      </c>
      <c r="J90" s="35"/>
      <c r="K90" s="31">
        <f>$G90</f>
        <v>104.65833333333332</v>
      </c>
      <c r="L90" s="76"/>
      <c r="M90" s="140">
        <f>$G90</f>
        <v>104.65833333333332</v>
      </c>
      <c r="N90" s="96"/>
      <c r="O90" s="31">
        <f>$G90</f>
        <v>104.65833333333332</v>
      </c>
      <c r="P90" s="76"/>
      <c r="Q90" s="140">
        <f>$G90</f>
        <v>104.65833333333332</v>
      </c>
      <c r="R90" s="96"/>
      <c r="S90" s="31">
        <f>$G90</f>
        <v>104.65833333333332</v>
      </c>
      <c r="T90" s="76"/>
      <c r="U90" s="140">
        <f>$G90</f>
        <v>104.65833333333332</v>
      </c>
      <c r="V90" s="96"/>
      <c r="W90" s="31">
        <f>$G90</f>
        <v>104.65833333333332</v>
      </c>
      <c r="X90" s="76"/>
      <c r="Y90" s="140">
        <f>$G90</f>
        <v>104.65833333333332</v>
      </c>
      <c r="Z90" s="35"/>
      <c r="AA90" s="208">
        <f>$G90</f>
        <v>104.65833333333332</v>
      </c>
    </row>
    <row r="91" spans="1:27" ht="15">
      <c r="A91" s="151">
        <v>2</v>
      </c>
      <c r="B91" s="273" t="s">
        <v>123</v>
      </c>
      <c r="C91" s="273"/>
      <c r="D91" s="273"/>
      <c r="E91" s="273"/>
      <c r="F91" s="274"/>
      <c r="G91" s="31">
        <f>'Memória de Cálculo - EPIs'!$F$21</f>
        <v>142.95000000000002</v>
      </c>
      <c r="H91" s="76"/>
      <c r="I91" s="140">
        <f t="shared" ref="I91:AA93" si="229">$G91</f>
        <v>142.95000000000002</v>
      </c>
      <c r="J91" s="35"/>
      <c r="K91" s="31">
        <f t="shared" si="229"/>
        <v>142.95000000000002</v>
      </c>
      <c r="L91" s="76"/>
      <c r="M91" s="140">
        <f t="shared" si="229"/>
        <v>142.95000000000002</v>
      </c>
      <c r="N91" s="96"/>
      <c r="O91" s="31">
        <f t="shared" si="229"/>
        <v>142.95000000000002</v>
      </c>
      <c r="P91" s="76"/>
      <c r="Q91" s="140">
        <f t="shared" si="229"/>
        <v>142.95000000000002</v>
      </c>
      <c r="R91" s="96"/>
      <c r="S91" s="31">
        <f t="shared" si="229"/>
        <v>142.95000000000002</v>
      </c>
      <c r="T91" s="76"/>
      <c r="U91" s="140">
        <f>'Memória de Cálculo - EPIs'!$F$29</f>
        <v>143.64000000000001</v>
      </c>
      <c r="V91" s="96"/>
      <c r="W91" s="31">
        <f>'Memória de Cálculo - EPIs'!$F$29</f>
        <v>143.64000000000001</v>
      </c>
      <c r="X91" s="76"/>
      <c r="Y91" s="140">
        <f t="shared" si="229"/>
        <v>142.95000000000002</v>
      </c>
      <c r="Z91" s="35"/>
      <c r="AA91" s="208">
        <f t="shared" si="229"/>
        <v>142.95000000000002</v>
      </c>
    </row>
    <row r="92" spans="1:27" ht="30.75" customHeight="1">
      <c r="A92" s="151">
        <v>3</v>
      </c>
      <c r="B92" s="240" t="s">
        <v>291</v>
      </c>
      <c r="C92" s="240"/>
      <c r="D92" s="240"/>
      <c r="E92" s="240"/>
      <c r="F92" s="237"/>
      <c r="G92" s="31">
        <f>'Memória Calc-Uniform. + Relógio'!$G$25</f>
        <v>6.5007113821138205</v>
      </c>
      <c r="H92" s="155"/>
      <c r="I92" s="140">
        <f t="shared" si="229"/>
        <v>6.5007113821138205</v>
      </c>
      <c r="J92" s="22"/>
      <c r="K92" s="31">
        <f t="shared" si="229"/>
        <v>6.5007113821138205</v>
      </c>
      <c r="L92" s="155"/>
      <c r="M92" s="140">
        <f t="shared" si="229"/>
        <v>6.5007113821138205</v>
      </c>
      <c r="N92" s="82"/>
      <c r="O92" s="31">
        <f t="shared" si="229"/>
        <v>6.5007113821138205</v>
      </c>
      <c r="P92" s="155"/>
      <c r="Q92" s="140">
        <f t="shared" si="229"/>
        <v>6.5007113821138205</v>
      </c>
      <c r="R92" s="82"/>
      <c r="S92" s="31">
        <f t="shared" si="229"/>
        <v>6.5007113821138205</v>
      </c>
      <c r="T92" s="155"/>
      <c r="U92" s="140">
        <f t="shared" si="229"/>
        <v>6.5007113821138205</v>
      </c>
      <c r="V92" s="82"/>
      <c r="W92" s="31">
        <f t="shared" si="229"/>
        <v>6.5007113821138205</v>
      </c>
      <c r="X92" s="204"/>
      <c r="Y92" s="140">
        <f t="shared" si="229"/>
        <v>6.5007113821138205</v>
      </c>
      <c r="Z92" s="22"/>
      <c r="AA92" s="208">
        <f t="shared" si="229"/>
        <v>6.5007113821138205</v>
      </c>
    </row>
    <row r="93" spans="1:27" ht="15">
      <c r="A93" s="151">
        <v>4</v>
      </c>
      <c r="B93" s="240" t="s">
        <v>124</v>
      </c>
      <c r="C93" s="240"/>
      <c r="D93" s="240"/>
      <c r="E93" s="240"/>
      <c r="F93" s="237"/>
      <c r="G93" s="31">
        <f>'Salários e Benefícios'!$H$4</f>
        <v>19</v>
      </c>
      <c r="H93" s="155"/>
      <c r="I93" s="140">
        <f t="shared" si="229"/>
        <v>19</v>
      </c>
      <c r="J93" s="22"/>
      <c r="K93" s="31">
        <f t="shared" si="229"/>
        <v>19</v>
      </c>
      <c r="L93" s="155"/>
      <c r="M93" s="140">
        <f t="shared" si="229"/>
        <v>19</v>
      </c>
      <c r="N93" s="82"/>
      <c r="O93" s="31">
        <f t="shared" si="229"/>
        <v>19</v>
      </c>
      <c r="P93" s="155"/>
      <c r="Q93" s="140">
        <f t="shared" si="229"/>
        <v>19</v>
      </c>
      <c r="R93" s="82"/>
      <c r="S93" s="31">
        <f t="shared" si="229"/>
        <v>19</v>
      </c>
      <c r="T93" s="155"/>
      <c r="U93" s="140">
        <f t="shared" si="229"/>
        <v>19</v>
      </c>
      <c r="V93" s="82"/>
      <c r="W93" s="31">
        <f t="shared" si="229"/>
        <v>19</v>
      </c>
      <c r="X93" s="204"/>
      <c r="Y93" s="140">
        <f t="shared" si="229"/>
        <v>19</v>
      </c>
      <c r="Z93" s="22"/>
      <c r="AA93" s="208">
        <f t="shared" si="229"/>
        <v>19</v>
      </c>
    </row>
    <row r="94" spans="1:27" ht="15" customHeight="1">
      <c r="A94" s="231" t="s">
        <v>125</v>
      </c>
      <c r="B94" s="231"/>
      <c r="C94" s="231"/>
      <c r="D94" s="231"/>
      <c r="E94" s="231"/>
      <c r="F94" s="232"/>
      <c r="G94" s="32">
        <f>SUM(G90:G93)</f>
        <v>273.10904471544717</v>
      </c>
      <c r="H94" s="154"/>
      <c r="I94" s="69">
        <f>SUM(I90:I93)</f>
        <v>273.10904471544717</v>
      </c>
      <c r="J94" s="9"/>
      <c r="K94" s="32">
        <f>SUM(K90:K93)</f>
        <v>273.10904471544717</v>
      </c>
      <c r="L94" s="154"/>
      <c r="M94" s="69">
        <f>SUM(M90:M93)</f>
        <v>273.10904471544717</v>
      </c>
      <c r="N94" s="81"/>
      <c r="O94" s="90">
        <f>SUM(O90:O93)</f>
        <v>273.10904471544717</v>
      </c>
      <c r="P94" s="154"/>
      <c r="Q94" s="69">
        <f>SUM(Q90:Q93)</f>
        <v>273.10904471544717</v>
      </c>
      <c r="R94" s="81"/>
      <c r="S94" s="90">
        <f>SUM(S90:S93)</f>
        <v>273.10904471544717</v>
      </c>
      <c r="T94" s="154"/>
      <c r="U94" s="69">
        <f>SUM(U90:U93)</f>
        <v>273.79904471544717</v>
      </c>
      <c r="V94" s="81"/>
      <c r="W94" s="90">
        <f>SUM(W90:W93)</f>
        <v>273.79904471544717</v>
      </c>
      <c r="X94" s="203"/>
      <c r="Y94" s="69">
        <f>SUM(Y90:Y93)</f>
        <v>273.10904471544717</v>
      </c>
      <c r="Z94" s="9"/>
      <c r="AA94" s="32">
        <f>SUM(AA90:AA93)</f>
        <v>273.10904471544717</v>
      </c>
    </row>
    <row r="95" spans="1:27" ht="15">
      <c r="A95" s="270"/>
      <c r="B95" s="271"/>
      <c r="C95" s="271"/>
      <c r="D95" s="271"/>
      <c r="E95" s="271"/>
      <c r="F95" s="271"/>
      <c r="G95" s="19"/>
      <c r="H95" s="154"/>
      <c r="I95" s="65"/>
      <c r="J95" s="9"/>
      <c r="K95" s="8"/>
      <c r="L95" s="154"/>
      <c r="M95" s="65"/>
      <c r="N95" s="81"/>
      <c r="O95" s="86"/>
      <c r="P95" s="154"/>
      <c r="Q95" s="65"/>
      <c r="R95" s="81"/>
      <c r="S95" s="86"/>
      <c r="T95" s="154"/>
      <c r="U95" s="65"/>
      <c r="V95" s="81"/>
      <c r="W95" s="86"/>
      <c r="X95" s="203"/>
      <c r="Y95" s="65"/>
      <c r="Z95" s="9"/>
      <c r="AA95" s="8"/>
    </row>
    <row r="96" spans="1:27" ht="37.5" customHeight="1">
      <c r="A96" s="272" t="s">
        <v>126</v>
      </c>
      <c r="B96" s="272"/>
      <c r="C96" s="272"/>
      <c r="D96" s="272"/>
      <c r="E96" s="272"/>
      <c r="F96" s="266"/>
      <c r="G96" s="9"/>
      <c r="H96" s="154"/>
      <c r="I96" s="69" t="s">
        <v>72</v>
      </c>
      <c r="J96" s="9"/>
      <c r="K96" s="32" t="s">
        <v>72</v>
      </c>
      <c r="L96" s="154"/>
      <c r="M96" s="69" t="s">
        <v>72</v>
      </c>
      <c r="N96" s="81"/>
      <c r="O96" s="90" t="s">
        <v>72</v>
      </c>
      <c r="P96" s="154"/>
      <c r="Q96" s="69" t="s">
        <v>72</v>
      </c>
      <c r="R96" s="81"/>
      <c r="S96" s="90" t="s">
        <v>72</v>
      </c>
      <c r="T96" s="154"/>
      <c r="U96" s="69" t="s">
        <v>72</v>
      </c>
      <c r="V96" s="81"/>
      <c r="W96" s="90" t="s">
        <v>72</v>
      </c>
      <c r="X96" s="203"/>
      <c r="Y96" s="69" t="s">
        <v>72</v>
      </c>
      <c r="Z96" s="9"/>
      <c r="AA96" s="32" t="s">
        <v>72</v>
      </c>
    </row>
    <row r="97" spans="1:27" ht="15" customHeight="1">
      <c r="A97" s="4" t="s">
        <v>15</v>
      </c>
      <c r="B97" s="237" t="s">
        <v>127</v>
      </c>
      <c r="C97" s="238"/>
      <c r="D97" s="238"/>
      <c r="E97" s="238"/>
      <c r="F97" s="238"/>
      <c r="G97" s="10">
        <f>'Memória de Cálculo - Encargos'!D35</f>
        <v>0.1</v>
      </c>
      <c r="H97" s="74">
        <f>$G97</f>
        <v>0.1</v>
      </c>
      <c r="I97" s="67">
        <f>H97*I112</f>
        <v>598.61790447154476</v>
      </c>
      <c r="J97" s="10">
        <f>$G97</f>
        <v>0.1</v>
      </c>
      <c r="K97" s="31">
        <f>J97*K112</f>
        <v>657.72290447154478</v>
      </c>
      <c r="L97" s="74">
        <f>$G97</f>
        <v>0.1</v>
      </c>
      <c r="M97" s="67">
        <f>L97*M112</f>
        <v>419.63190447154477</v>
      </c>
      <c r="N97" s="94">
        <f>$G97</f>
        <v>0.1</v>
      </c>
      <c r="O97" s="88">
        <f>N97*O112</f>
        <v>459.21090447154478</v>
      </c>
      <c r="P97" s="74">
        <f>$G97</f>
        <v>0.1</v>
      </c>
      <c r="Q97" s="67">
        <f>P97*Q112</f>
        <v>379.19690447154477</v>
      </c>
      <c r="R97" s="94">
        <f>$G97</f>
        <v>0.1</v>
      </c>
      <c r="S97" s="88">
        <f>R97*S112</f>
        <v>414.24890447154468</v>
      </c>
      <c r="T97" s="74">
        <f>$G97</f>
        <v>0.1</v>
      </c>
      <c r="U97" s="67">
        <f>T97*U112</f>
        <v>375.20090447154473</v>
      </c>
      <c r="V97" s="94">
        <f>$G97</f>
        <v>0.1</v>
      </c>
      <c r="W97" s="88">
        <f>V97*W112</f>
        <v>331.43590447154475</v>
      </c>
      <c r="X97" s="74">
        <f>$G97</f>
        <v>0.1</v>
      </c>
      <c r="Y97" s="67">
        <f>X97*Y112</f>
        <v>343.31190447154472</v>
      </c>
      <c r="Z97" s="10">
        <f>$G97</f>
        <v>0.1</v>
      </c>
      <c r="AA97" s="31">
        <f>Z97*AA112</f>
        <v>419.63190447154477</v>
      </c>
    </row>
    <row r="98" spans="1:27" ht="15">
      <c r="A98" s="4" t="s">
        <v>16</v>
      </c>
      <c r="B98" s="240" t="s">
        <v>128</v>
      </c>
      <c r="C98" s="240"/>
      <c r="D98" s="240"/>
      <c r="E98" s="240"/>
      <c r="F98" s="237"/>
      <c r="G98" s="10">
        <f>'Memória de Cálculo - Encargos'!D36</f>
        <v>0.1</v>
      </c>
      <c r="H98" s="74">
        <f t="shared" ref="H98:Z102" si="230">$G98</f>
        <v>0.1</v>
      </c>
      <c r="I98" s="67">
        <f>H98*(I97+I112)</f>
        <v>658.47969491869924</v>
      </c>
      <c r="J98" s="10">
        <f t="shared" si="230"/>
        <v>0.1</v>
      </c>
      <c r="K98" s="31">
        <f>J98*(K97+K112)</f>
        <v>723.49519491869933</v>
      </c>
      <c r="L98" s="74">
        <f t="shared" si="230"/>
        <v>0.1</v>
      </c>
      <c r="M98" s="67">
        <f>L98*(M97+M112)</f>
        <v>461.59509491869926</v>
      </c>
      <c r="N98" s="94">
        <f t="shared" si="230"/>
        <v>0.1</v>
      </c>
      <c r="O98" s="88">
        <f>N98*(O97+O112)</f>
        <v>505.13199491869921</v>
      </c>
      <c r="P98" s="74">
        <f t="shared" si="230"/>
        <v>0.1</v>
      </c>
      <c r="Q98" s="67">
        <f>P98*(Q97+Q112)</f>
        <v>417.11659491869926</v>
      </c>
      <c r="R98" s="94">
        <f t="shared" si="230"/>
        <v>0.1</v>
      </c>
      <c r="S98" s="88">
        <f>R98*(S97+S112)</f>
        <v>455.67379491869917</v>
      </c>
      <c r="T98" s="74">
        <f t="shared" si="230"/>
        <v>0.1</v>
      </c>
      <c r="U98" s="67">
        <f>T98*(U97+U112)</f>
        <v>412.72099491869926</v>
      </c>
      <c r="V98" s="94">
        <f t="shared" si="230"/>
        <v>0.1</v>
      </c>
      <c r="W98" s="88">
        <f>V98*(W97+W112)</f>
        <v>364.5794949186992</v>
      </c>
      <c r="X98" s="74">
        <f t="shared" si="230"/>
        <v>0.1</v>
      </c>
      <c r="Y98" s="67">
        <f>X98*(Y97+Y112)</f>
        <v>377.64309491869921</v>
      </c>
      <c r="Z98" s="10">
        <f t="shared" si="230"/>
        <v>0.1</v>
      </c>
      <c r="AA98" s="31">
        <f>Z98*(AA97+AA112)</f>
        <v>461.59509491869926</v>
      </c>
    </row>
    <row r="99" spans="1:27" ht="15">
      <c r="A99" s="4" t="s">
        <v>75</v>
      </c>
      <c r="B99" s="285" t="s">
        <v>129</v>
      </c>
      <c r="C99" s="285"/>
      <c r="D99" s="285"/>
      <c r="E99" s="285"/>
      <c r="F99" s="286"/>
      <c r="G99" s="11">
        <f>SUM(G100:G102)</f>
        <v>0.14250000000000002</v>
      </c>
      <c r="H99" s="74">
        <f t="shared" si="230"/>
        <v>0.14250000000000002</v>
      </c>
      <c r="I99" s="67">
        <f>(I97+I98+I112)*(1/(1-H99)-1)</f>
        <v>1203.6932032478849</v>
      </c>
      <c r="J99" s="10">
        <f t="shared" si="230"/>
        <v>0.14250000000000002</v>
      </c>
      <c r="K99" s="31">
        <f>(K97+K98+K112)*(1/(1-J99)-1)</f>
        <v>1322.5407790496342</v>
      </c>
      <c r="L99" s="74">
        <f t="shared" si="230"/>
        <v>0.14250000000000002</v>
      </c>
      <c r="M99" s="67">
        <f>(M97+M98+M112)*(1/(1-L99)-1)</f>
        <v>843.79045047820557</v>
      </c>
      <c r="N99" s="94">
        <f t="shared" si="230"/>
        <v>0.14250000000000002</v>
      </c>
      <c r="O99" s="88">
        <f>(O97+O98+O112)*(1/(1-N99)-1)</f>
        <v>923.37539595925512</v>
      </c>
      <c r="P99" s="74">
        <f t="shared" si="230"/>
        <v>0.14250000000000002</v>
      </c>
      <c r="Q99" s="67">
        <f>(Q97+Q98+Q112)*(1/(1-P99)-1)</f>
        <v>762.48427117791414</v>
      </c>
      <c r="R99" s="94">
        <f t="shared" si="230"/>
        <v>0.14250000000000002</v>
      </c>
      <c r="S99" s="88">
        <f>(S97+S98+S112)*(1/(1-R99)-1)</f>
        <v>832.96638313126664</v>
      </c>
      <c r="T99" s="74">
        <f t="shared" si="230"/>
        <v>0.14250000000000002</v>
      </c>
      <c r="U99" s="67">
        <f>(U97+U98+U112)*(1/(1-T99)-1)</f>
        <v>754.44916563855531</v>
      </c>
      <c r="V99" s="94">
        <f t="shared" si="230"/>
        <v>0.14250000000000002</v>
      </c>
      <c r="W99" s="88">
        <f>(W97+W98+W112)*(1/(1-V99)-1)</f>
        <v>666.44706505546492</v>
      </c>
      <c r="X99" s="74">
        <f t="shared" si="230"/>
        <v>0.14250000000000002</v>
      </c>
      <c r="Y99" s="67">
        <f>(Y97+Y98+Y112)*(1/(1-X99)-1)</f>
        <v>690.32717351027554</v>
      </c>
      <c r="Z99" s="10">
        <f t="shared" si="230"/>
        <v>0.14250000000000002</v>
      </c>
      <c r="AA99" s="31">
        <f>(AA97+AA98+AA112)*(1/(1-Z99)-1)</f>
        <v>843.79045047820557</v>
      </c>
    </row>
    <row r="100" spans="1:27" ht="15" customHeight="1">
      <c r="A100" s="4" t="s">
        <v>130</v>
      </c>
      <c r="B100" s="240" t="s">
        <v>280</v>
      </c>
      <c r="C100" s="240"/>
      <c r="D100" s="240"/>
      <c r="E100" s="240"/>
      <c r="F100" s="237"/>
      <c r="G100" s="10">
        <f>'Memória de Cálculo - Encargos'!D32</f>
        <v>1.6500000000000001E-2</v>
      </c>
      <c r="H100" s="74">
        <f t="shared" si="230"/>
        <v>1.6500000000000001E-2</v>
      </c>
      <c r="I100" s="67">
        <f>H100*I114</f>
        <v>139.37500248133401</v>
      </c>
      <c r="J100" s="10">
        <f t="shared" si="230"/>
        <v>1.6500000000000001E-2</v>
      </c>
      <c r="K100" s="31">
        <f>J100*K114</f>
        <v>153.13630073206289</v>
      </c>
      <c r="L100" s="74">
        <f t="shared" si="230"/>
        <v>1.6500000000000001E-2</v>
      </c>
      <c r="M100" s="67">
        <f>L100*M114</f>
        <v>97.702052160634295</v>
      </c>
      <c r="N100" s="94">
        <f t="shared" si="230"/>
        <v>1.6500000000000001E-2</v>
      </c>
      <c r="O100" s="88">
        <f>N100*O114</f>
        <v>106.91715111107163</v>
      </c>
      <c r="P100" s="74">
        <f t="shared" si="230"/>
        <v>1.6500000000000001E-2</v>
      </c>
      <c r="Q100" s="67">
        <f>P100*Q114</f>
        <v>88.287652452179501</v>
      </c>
      <c r="R100" s="94">
        <f t="shared" si="230"/>
        <v>1.6500000000000001E-2</v>
      </c>
      <c r="S100" s="88">
        <f>R100*S114</f>
        <v>96.448739099409792</v>
      </c>
      <c r="T100" s="74">
        <f t="shared" si="230"/>
        <v>1.6500000000000001E-2</v>
      </c>
      <c r="U100" s="67">
        <f>T100*U114</f>
        <v>87.357271810780077</v>
      </c>
      <c r="V100" s="94">
        <f t="shared" si="230"/>
        <v>1.6500000000000001E-2</v>
      </c>
      <c r="W100" s="88">
        <f>V100*W114</f>
        <v>77.167554901159079</v>
      </c>
      <c r="X100" s="74">
        <f t="shared" si="230"/>
        <v>1.6500000000000001E-2</v>
      </c>
      <c r="Y100" s="67">
        <f>X100*Y114</f>
        <v>79.932620090663448</v>
      </c>
      <c r="Z100" s="10">
        <f t="shared" si="230"/>
        <v>1.6500000000000001E-2</v>
      </c>
      <c r="AA100" s="31">
        <f>Z100*AA114</f>
        <v>97.702052160634295</v>
      </c>
    </row>
    <row r="101" spans="1:27" ht="15" customHeight="1">
      <c r="A101" s="4" t="s">
        <v>131</v>
      </c>
      <c r="B101" s="240" t="s">
        <v>278</v>
      </c>
      <c r="C101" s="240"/>
      <c r="D101" s="240"/>
      <c r="E101" s="240"/>
      <c r="F101" s="237"/>
      <c r="G101" s="10">
        <f>'Memória de Cálculo - Encargos'!D33</f>
        <v>7.5999999999999998E-2</v>
      </c>
      <c r="H101" s="74">
        <f t="shared" si="230"/>
        <v>7.5999999999999998E-2</v>
      </c>
      <c r="I101" s="67">
        <f>H101*I114</f>
        <v>641.96970839887172</v>
      </c>
      <c r="J101" s="10">
        <f t="shared" si="230"/>
        <v>7.5999999999999998E-2</v>
      </c>
      <c r="K101" s="31">
        <f>J101*K114</f>
        <v>705.35508215980474</v>
      </c>
      <c r="L101" s="74">
        <f t="shared" si="230"/>
        <v>7.5999999999999998E-2</v>
      </c>
      <c r="M101" s="67">
        <f>L101*M114</f>
        <v>450.02157358837616</v>
      </c>
      <c r="N101" s="94">
        <f t="shared" si="230"/>
        <v>7.5999999999999998E-2</v>
      </c>
      <c r="O101" s="88">
        <f>N101*O114</f>
        <v>492.46687784493594</v>
      </c>
      <c r="P101" s="74">
        <f t="shared" si="230"/>
        <v>7.5999999999999998E-2</v>
      </c>
      <c r="Q101" s="67">
        <f>P101*Q114</f>
        <v>406.65827796155406</v>
      </c>
      <c r="R101" s="94">
        <f t="shared" si="230"/>
        <v>7.5999999999999998E-2</v>
      </c>
      <c r="S101" s="88">
        <f>R101*S114</f>
        <v>444.24873767000872</v>
      </c>
      <c r="T101" s="74">
        <f t="shared" si="230"/>
        <v>7.5999999999999998E-2</v>
      </c>
      <c r="U101" s="67">
        <f>T101*U114</f>
        <v>402.37288834056272</v>
      </c>
      <c r="V101" s="94">
        <f t="shared" si="230"/>
        <v>7.5999999999999998E-2</v>
      </c>
      <c r="W101" s="88">
        <f>V101*W114</f>
        <v>355.4384346962479</v>
      </c>
      <c r="X101" s="74">
        <f t="shared" si="230"/>
        <v>7.5999999999999998E-2</v>
      </c>
      <c r="Y101" s="67">
        <f>X101*Y114</f>
        <v>368.17449253881347</v>
      </c>
      <c r="Z101" s="10">
        <f t="shared" si="230"/>
        <v>7.5999999999999998E-2</v>
      </c>
      <c r="AA101" s="31">
        <f>Z101*AA114</f>
        <v>450.02157358837616</v>
      </c>
    </row>
    <row r="102" spans="1:27" ht="15" customHeight="1">
      <c r="A102" s="4" t="s">
        <v>132</v>
      </c>
      <c r="B102" s="240" t="s">
        <v>279</v>
      </c>
      <c r="C102" s="240"/>
      <c r="D102" s="240"/>
      <c r="E102" s="240"/>
      <c r="F102" s="237"/>
      <c r="G102" s="10">
        <f>'Memória de Cálculo - Encargos'!D34</f>
        <v>0.05</v>
      </c>
      <c r="H102" s="74">
        <f t="shared" si="230"/>
        <v>0.05</v>
      </c>
      <c r="I102" s="67">
        <f>H102*I114</f>
        <v>422.34849236767877</v>
      </c>
      <c r="J102" s="10">
        <f t="shared" si="230"/>
        <v>0.05</v>
      </c>
      <c r="K102" s="31">
        <f>J102*K114</f>
        <v>464.0493961577663</v>
      </c>
      <c r="L102" s="74">
        <f t="shared" si="230"/>
        <v>0.05</v>
      </c>
      <c r="M102" s="67">
        <f>L102*M114</f>
        <v>296.06682472919482</v>
      </c>
      <c r="N102" s="94">
        <f t="shared" si="230"/>
        <v>0.05</v>
      </c>
      <c r="O102" s="88">
        <f>N102*O114</f>
        <v>323.99136700324738</v>
      </c>
      <c r="P102" s="74">
        <f t="shared" si="230"/>
        <v>0.05</v>
      </c>
      <c r="Q102" s="67">
        <f>P102*Q114</f>
        <v>267.5383407641803</v>
      </c>
      <c r="R102" s="94">
        <f t="shared" si="230"/>
        <v>0.05</v>
      </c>
      <c r="S102" s="88">
        <f>R102*S114</f>
        <v>292.26890636184788</v>
      </c>
      <c r="T102" s="74">
        <f t="shared" si="230"/>
        <v>0.05</v>
      </c>
      <c r="U102" s="67">
        <f>T102*U114</f>
        <v>264.71900548721231</v>
      </c>
      <c r="V102" s="94">
        <f t="shared" si="230"/>
        <v>0.05</v>
      </c>
      <c r="W102" s="88">
        <f>V102*W114</f>
        <v>233.84107545805784</v>
      </c>
      <c r="X102" s="74">
        <f t="shared" si="230"/>
        <v>0.05</v>
      </c>
      <c r="Y102" s="67">
        <f>X102*Y114</f>
        <v>242.22006088079834</v>
      </c>
      <c r="Z102" s="10">
        <f t="shared" si="230"/>
        <v>0.05</v>
      </c>
      <c r="AA102" s="31">
        <f>Z102*AA114</f>
        <v>296.06682472919482</v>
      </c>
    </row>
    <row r="103" spans="1:27" ht="15" customHeight="1">
      <c r="A103" s="283" t="s">
        <v>133</v>
      </c>
      <c r="B103" s="284"/>
      <c r="C103" s="284"/>
      <c r="D103" s="284"/>
      <c r="E103" s="284"/>
      <c r="F103" s="284"/>
      <c r="G103" s="20">
        <f t="shared" ref="G103:AA103" si="231">SUM(G97:G99)</f>
        <v>0.34250000000000003</v>
      </c>
      <c r="H103" s="77">
        <f t="shared" si="231"/>
        <v>0.34250000000000003</v>
      </c>
      <c r="I103" s="69">
        <f t="shared" si="231"/>
        <v>2460.7908026381288</v>
      </c>
      <c r="J103" s="20">
        <f t="shared" si="231"/>
        <v>0.34250000000000003</v>
      </c>
      <c r="K103" s="32">
        <f t="shared" si="231"/>
        <v>2703.7588784398786</v>
      </c>
      <c r="L103" s="77">
        <f t="shared" si="231"/>
        <v>0.34250000000000003</v>
      </c>
      <c r="M103" s="69">
        <f t="shared" si="231"/>
        <v>1725.0174498684496</v>
      </c>
      <c r="N103" s="97">
        <f t="shared" si="231"/>
        <v>0.34250000000000003</v>
      </c>
      <c r="O103" s="90">
        <f t="shared" si="231"/>
        <v>1887.7182953494989</v>
      </c>
      <c r="P103" s="77">
        <f t="shared" si="231"/>
        <v>0.34250000000000003</v>
      </c>
      <c r="Q103" s="69">
        <f t="shared" si="231"/>
        <v>1558.7977705681583</v>
      </c>
      <c r="R103" s="97">
        <f t="shared" si="231"/>
        <v>0.34250000000000003</v>
      </c>
      <c r="S103" s="90">
        <f t="shared" si="231"/>
        <v>1702.8890825215105</v>
      </c>
      <c r="T103" s="77">
        <f t="shared" si="231"/>
        <v>0.34250000000000003</v>
      </c>
      <c r="U103" s="69">
        <f t="shared" si="231"/>
        <v>1542.3710650287994</v>
      </c>
      <c r="V103" s="97">
        <f t="shared" si="231"/>
        <v>0.34250000000000003</v>
      </c>
      <c r="W103" s="90">
        <f t="shared" si="231"/>
        <v>1362.462464445709</v>
      </c>
      <c r="X103" s="77">
        <f>SUM(X97:X99)</f>
        <v>0.34250000000000003</v>
      </c>
      <c r="Y103" s="69">
        <f>SUM(Y97:Y99)</f>
        <v>1411.2821729005195</v>
      </c>
      <c r="Z103" s="20">
        <f t="shared" si="231"/>
        <v>0.34250000000000003</v>
      </c>
      <c r="AA103" s="32">
        <f t="shared" si="231"/>
        <v>1725.0174498684496</v>
      </c>
    </row>
    <row r="104" spans="1:27" ht="15">
      <c r="A104" s="6"/>
      <c r="B104" s="7"/>
      <c r="C104" s="7"/>
      <c r="D104" s="7"/>
      <c r="E104" s="7"/>
      <c r="F104" s="7"/>
      <c r="G104" s="21"/>
      <c r="H104" s="155"/>
      <c r="I104" s="70"/>
      <c r="J104" s="22"/>
      <c r="K104" s="13"/>
      <c r="L104" s="155"/>
      <c r="M104" s="70"/>
      <c r="N104" s="82"/>
      <c r="O104" s="91"/>
      <c r="P104" s="155"/>
      <c r="Q104" s="70"/>
      <c r="R104" s="82"/>
      <c r="S104" s="91"/>
      <c r="T104" s="155"/>
      <c r="U104" s="70"/>
      <c r="V104" s="82"/>
      <c r="W104" s="91"/>
      <c r="X104" s="204"/>
      <c r="Y104" s="70"/>
      <c r="Z104" s="22"/>
      <c r="AA104" s="13"/>
    </row>
    <row r="105" spans="1:27" ht="15" customHeight="1">
      <c r="A105" s="283" t="s">
        <v>134</v>
      </c>
      <c r="B105" s="284"/>
      <c r="C105" s="284"/>
      <c r="D105" s="284"/>
      <c r="E105" s="284"/>
      <c r="F105" s="284"/>
      <c r="G105" s="9"/>
      <c r="H105" s="154"/>
      <c r="I105" s="65"/>
      <c r="J105" s="9"/>
      <c r="K105" s="8"/>
      <c r="L105" s="154"/>
      <c r="M105" s="65"/>
      <c r="N105" s="81"/>
      <c r="O105" s="86"/>
      <c r="P105" s="154"/>
      <c r="Q105" s="65"/>
      <c r="R105" s="81"/>
      <c r="S105" s="86"/>
      <c r="T105" s="154"/>
      <c r="U105" s="65"/>
      <c r="V105" s="81"/>
      <c r="W105" s="86"/>
      <c r="X105" s="203"/>
      <c r="Y105" s="65"/>
      <c r="Z105" s="9"/>
      <c r="AA105" s="8"/>
    </row>
    <row r="106" spans="1:27" ht="30" customHeight="1">
      <c r="A106" s="281" t="s">
        <v>135</v>
      </c>
      <c r="B106" s="282"/>
      <c r="C106" s="282"/>
      <c r="D106" s="282"/>
      <c r="E106" s="282"/>
      <c r="F106" s="282"/>
      <c r="G106" s="9"/>
      <c r="H106" s="154"/>
      <c r="I106" s="154" t="s">
        <v>72</v>
      </c>
      <c r="J106" s="9"/>
      <c r="K106" s="9" t="s">
        <v>72</v>
      </c>
      <c r="L106" s="154"/>
      <c r="M106" s="154" t="s">
        <v>72</v>
      </c>
      <c r="N106" s="81"/>
      <c r="O106" s="81" t="s">
        <v>72</v>
      </c>
      <c r="P106" s="154"/>
      <c r="Q106" s="154" t="s">
        <v>72</v>
      </c>
      <c r="R106" s="81"/>
      <c r="S106" s="81" t="s">
        <v>72</v>
      </c>
      <c r="T106" s="154"/>
      <c r="U106" s="154" t="s">
        <v>72</v>
      </c>
      <c r="V106" s="81"/>
      <c r="W106" s="81" t="s">
        <v>72</v>
      </c>
      <c r="X106" s="203"/>
      <c r="Y106" s="203" t="s">
        <v>72</v>
      </c>
      <c r="Z106" s="9"/>
      <c r="AA106" s="9" t="s">
        <v>72</v>
      </c>
    </row>
    <row r="107" spans="1:27" ht="15" customHeight="1">
      <c r="A107" s="4" t="s">
        <v>15</v>
      </c>
      <c r="B107" s="225" t="s">
        <v>136</v>
      </c>
      <c r="C107" s="226"/>
      <c r="D107" s="226"/>
      <c r="E107" s="226"/>
      <c r="F107" s="226"/>
      <c r="G107" s="22"/>
      <c r="H107" s="155"/>
      <c r="I107" s="62">
        <f>I21</f>
        <v>3163.23</v>
      </c>
      <c r="J107" s="22"/>
      <c r="K107" s="14">
        <f>K21</f>
        <v>3508.31</v>
      </c>
      <c r="L107" s="155"/>
      <c r="M107" s="62">
        <f>M21</f>
        <v>2118.27</v>
      </c>
      <c r="N107" s="82"/>
      <c r="O107" s="83">
        <f>O21</f>
        <v>2349.35</v>
      </c>
      <c r="P107" s="155"/>
      <c r="Q107" s="62">
        <f>Q21</f>
        <v>1876.18</v>
      </c>
      <c r="R107" s="82"/>
      <c r="S107" s="83">
        <f>S21</f>
        <v>2080.85</v>
      </c>
      <c r="T107" s="155"/>
      <c r="U107" s="62">
        <f>U21</f>
        <v>1658.8899999999999</v>
      </c>
      <c r="V107" s="82"/>
      <c r="W107" s="83">
        <f>W21</f>
        <v>1393.0600000000002</v>
      </c>
      <c r="X107" s="204"/>
      <c r="Y107" s="62">
        <f>Y21</f>
        <v>1876.18</v>
      </c>
      <c r="Z107" s="22"/>
      <c r="AA107" s="14">
        <f>AA21</f>
        <v>2118.27</v>
      </c>
    </row>
    <row r="108" spans="1:27" ht="23.25" customHeight="1">
      <c r="A108" s="4" t="s">
        <v>16</v>
      </c>
      <c r="B108" s="225" t="s">
        <v>137</v>
      </c>
      <c r="C108" s="226"/>
      <c r="D108" s="226"/>
      <c r="E108" s="226"/>
      <c r="F108" s="226"/>
      <c r="G108" s="22"/>
      <c r="H108" s="155"/>
      <c r="I108" s="62">
        <f>I51</f>
        <v>1900.8400000000001</v>
      </c>
      <c r="J108" s="22"/>
      <c r="K108" s="14">
        <f>K51</f>
        <v>2080.27</v>
      </c>
      <c r="L108" s="155"/>
      <c r="M108" s="62">
        <f>M51</f>
        <v>1357.47</v>
      </c>
      <c r="N108" s="82"/>
      <c r="O108" s="83">
        <f>O51</f>
        <v>1477.6200000000001</v>
      </c>
      <c r="P108" s="155"/>
      <c r="Q108" s="62">
        <f>Q51</f>
        <v>1240.54</v>
      </c>
      <c r="R108" s="82"/>
      <c r="S108" s="83">
        <f>S51</f>
        <v>1346.93</v>
      </c>
      <c r="T108" s="155"/>
      <c r="U108" s="62">
        <f>U51</f>
        <v>1415.32</v>
      </c>
      <c r="V108" s="82"/>
      <c r="W108" s="83">
        <f>W51</f>
        <v>1292.44</v>
      </c>
      <c r="X108" s="204"/>
      <c r="Y108" s="62">
        <f>Y51</f>
        <v>1240.54</v>
      </c>
      <c r="Z108" s="22"/>
      <c r="AA108" s="14">
        <f>AA51</f>
        <v>1357.47</v>
      </c>
    </row>
    <row r="109" spans="1:27" ht="15" customHeight="1">
      <c r="A109" s="4" t="s">
        <v>75</v>
      </c>
      <c r="B109" s="225" t="s">
        <v>138</v>
      </c>
      <c r="C109" s="226"/>
      <c r="D109" s="226"/>
      <c r="E109" s="226"/>
      <c r="F109" s="226"/>
      <c r="G109" s="22"/>
      <c r="H109" s="155"/>
      <c r="I109" s="62">
        <f>I61</f>
        <v>142.78</v>
      </c>
      <c r="J109" s="22"/>
      <c r="K109" s="14">
        <f>K61</f>
        <v>156.94999999999999</v>
      </c>
      <c r="L109" s="155"/>
      <c r="M109" s="62">
        <f>M61</f>
        <v>99.84</v>
      </c>
      <c r="N109" s="82"/>
      <c r="O109" s="83">
        <f>O61</f>
        <v>109.33</v>
      </c>
      <c r="P109" s="155"/>
      <c r="Q109" s="62">
        <f>Q61</f>
        <v>90.34</v>
      </c>
      <c r="R109" s="82"/>
      <c r="S109" s="83">
        <f>S61</f>
        <v>98.740000000000009</v>
      </c>
      <c r="T109" s="155"/>
      <c r="U109" s="62">
        <f>U61</f>
        <v>95.800000000000011</v>
      </c>
      <c r="V109" s="82"/>
      <c r="W109" s="83">
        <f>W61</f>
        <v>85.64</v>
      </c>
      <c r="X109" s="204"/>
      <c r="Y109" s="62">
        <f>Y61</f>
        <v>0</v>
      </c>
      <c r="Z109" s="22"/>
      <c r="AA109" s="14">
        <f>AA61</f>
        <v>99.84</v>
      </c>
    </row>
    <row r="110" spans="1:27" ht="15" customHeight="1">
      <c r="A110" s="4" t="s">
        <v>18</v>
      </c>
      <c r="B110" s="225" t="s">
        <v>139</v>
      </c>
      <c r="C110" s="226"/>
      <c r="D110" s="226"/>
      <c r="E110" s="226"/>
      <c r="F110" s="226"/>
      <c r="G110" s="22"/>
      <c r="H110" s="155"/>
      <c r="I110" s="62">
        <f>I87</f>
        <v>506.21999999999997</v>
      </c>
      <c r="J110" s="22"/>
      <c r="K110" s="14">
        <f>K87</f>
        <v>558.59</v>
      </c>
      <c r="L110" s="155"/>
      <c r="M110" s="62">
        <f>M87</f>
        <v>347.63</v>
      </c>
      <c r="N110" s="82"/>
      <c r="O110" s="83">
        <f>O87</f>
        <v>382.7</v>
      </c>
      <c r="P110" s="155"/>
      <c r="Q110" s="62">
        <f>Q87</f>
        <v>311.8</v>
      </c>
      <c r="R110" s="82"/>
      <c r="S110" s="83">
        <f>S87</f>
        <v>342.86</v>
      </c>
      <c r="T110" s="155"/>
      <c r="U110" s="62">
        <f>U87</f>
        <v>308.20000000000005</v>
      </c>
      <c r="V110" s="82"/>
      <c r="W110" s="83">
        <f>W87</f>
        <v>269.42</v>
      </c>
      <c r="X110" s="204"/>
      <c r="Y110" s="62">
        <f>Y87</f>
        <v>43.29</v>
      </c>
      <c r="Z110" s="22"/>
      <c r="AA110" s="14">
        <f>AA87</f>
        <v>347.63</v>
      </c>
    </row>
    <row r="111" spans="1:27" ht="15" customHeight="1">
      <c r="A111" s="4" t="s">
        <v>19</v>
      </c>
      <c r="B111" s="225" t="s">
        <v>140</v>
      </c>
      <c r="C111" s="226"/>
      <c r="D111" s="226"/>
      <c r="E111" s="226"/>
      <c r="F111" s="226"/>
      <c r="G111" s="22"/>
      <c r="H111" s="155"/>
      <c r="I111" s="62">
        <f>I94</f>
        <v>273.10904471544717</v>
      </c>
      <c r="J111" s="22"/>
      <c r="K111" s="14">
        <f>K94</f>
        <v>273.10904471544717</v>
      </c>
      <c r="L111" s="155"/>
      <c r="M111" s="62">
        <f>M94</f>
        <v>273.10904471544717</v>
      </c>
      <c r="N111" s="82"/>
      <c r="O111" s="83">
        <f>O94</f>
        <v>273.10904471544717</v>
      </c>
      <c r="P111" s="155"/>
      <c r="Q111" s="62">
        <f>Q94</f>
        <v>273.10904471544717</v>
      </c>
      <c r="R111" s="82"/>
      <c r="S111" s="83">
        <f>S94</f>
        <v>273.10904471544717</v>
      </c>
      <c r="T111" s="155"/>
      <c r="U111" s="62">
        <f>U94</f>
        <v>273.79904471544717</v>
      </c>
      <c r="V111" s="82"/>
      <c r="W111" s="83">
        <f>W94</f>
        <v>273.79904471544717</v>
      </c>
      <c r="X111" s="204"/>
      <c r="Y111" s="62">
        <f>Y94</f>
        <v>273.10904471544717</v>
      </c>
      <c r="Z111" s="22"/>
      <c r="AA111" s="14">
        <f>AA94</f>
        <v>273.10904471544717</v>
      </c>
    </row>
    <row r="112" spans="1:27" ht="15" customHeight="1">
      <c r="A112" s="4"/>
      <c r="B112" s="236" t="s">
        <v>141</v>
      </c>
      <c r="C112" s="263"/>
      <c r="D112" s="263"/>
      <c r="E112" s="263"/>
      <c r="F112" s="263"/>
      <c r="G112" s="9"/>
      <c r="H112" s="154"/>
      <c r="I112" s="64">
        <f>SUM(I107:I111)</f>
        <v>5986.1790447154472</v>
      </c>
      <c r="J112" s="9"/>
      <c r="K112" s="16">
        <f>SUM(K107:K111)</f>
        <v>6577.2290447154473</v>
      </c>
      <c r="L112" s="154"/>
      <c r="M112" s="64">
        <f>SUM(M107:M111)</f>
        <v>4196.3190447154475</v>
      </c>
      <c r="N112" s="81"/>
      <c r="O112" s="85">
        <f>SUM(O107:O111)</f>
        <v>4592.1090447154475</v>
      </c>
      <c r="P112" s="154"/>
      <c r="Q112" s="64">
        <f>SUM(Q107:Q111)</f>
        <v>3791.9690447154476</v>
      </c>
      <c r="R112" s="81"/>
      <c r="S112" s="85">
        <f>SUM(S107:S111)</f>
        <v>4142.4890447154467</v>
      </c>
      <c r="T112" s="154"/>
      <c r="U112" s="64">
        <f>SUM(U107:U111)</f>
        <v>3752.0090447154471</v>
      </c>
      <c r="V112" s="81"/>
      <c r="W112" s="85">
        <f>SUM(W107:W111)</f>
        <v>3314.359044715447</v>
      </c>
      <c r="X112" s="203"/>
      <c r="Y112" s="64">
        <f>SUM(Y107:Y111)</f>
        <v>3433.1190447154472</v>
      </c>
      <c r="Z112" s="9"/>
      <c r="AA112" s="16">
        <f>SUM(AA107:AA111)</f>
        <v>4196.3190447154475</v>
      </c>
    </row>
    <row r="113" spans="1:27" ht="15" customHeight="1">
      <c r="A113" s="4" t="s">
        <v>78</v>
      </c>
      <c r="B113" s="225" t="s">
        <v>255</v>
      </c>
      <c r="C113" s="226"/>
      <c r="D113" s="226"/>
      <c r="E113" s="226"/>
      <c r="F113" s="226"/>
      <c r="G113" s="22"/>
      <c r="H113" s="155"/>
      <c r="I113" s="62">
        <f>I103</f>
        <v>2460.7908026381288</v>
      </c>
      <c r="J113" s="22"/>
      <c r="K113" s="14">
        <f>K103</f>
        <v>2703.7588784398786</v>
      </c>
      <c r="L113" s="155"/>
      <c r="M113" s="62">
        <f>M103</f>
        <v>1725.0174498684496</v>
      </c>
      <c r="N113" s="82"/>
      <c r="O113" s="83">
        <f>O103</f>
        <v>1887.7182953494989</v>
      </c>
      <c r="P113" s="155"/>
      <c r="Q113" s="62">
        <f>Q103</f>
        <v>1558.7977705681583</v>
      </c>
      <c r="R113" s="82"/>
      <c r="S113" s="83">
        <f>S103</f>
        <v>1702.8890825215105</v>
      </c>
      <c r="T113" s="155"/>
      <c r="U113" s="62">
        <f>U103</f>
        <v>1542.3710650287994</v>
      </c>
      <c r="V113" s="82"/>
      <c r="W113" s="83">
        <f>W103</f>
        <v>1362.462464445709</v>
      </c>
      <c r="X113" s="204"/>
      <c r="Y113" s="62">
        <f>Y103</f>
        <v>1411.2821729005195</v>
      </c>
      <c r="Z113" s="22"/>
      <c r="AA113" s="14">
        <f>AA103</f>
        <v>1725.0174498684496</v>
      </c>
    </row>
    <row r="114" spans="1:27" ht="15.75" customHeight="1" thickBot="1">
      <c r="A114" s="264" t="s">
        <v>142</v>
      </c>
      <c r="B114" s="265"/>
      <c r="C114" s="265"/>
      <c r="D114" s="265"/>
      <c r="E114" s="265"/>
      <c r="F114" s="265"/>
      <c r="G114" s="9"/>
      <c r="H114" s="154"/>
      <c r="I114" s="78">
        <f>SUM(I112:I113)</f>
        <v>8446.9698473535755</v>
      </c>
      <c r="J114" s="9"/>
      <c r="K114" s="23">
        <f>SUM(K112:K113)</f>
        <v>9280.9879231553259</v>
      </c>
      <c r="L114" s="154"/>
      <c r="M114" s="78">
        <f>SUM(M112:M113)</f>
        <v>5921.3364945838966</v>
      </c>
      <c r="N114" s="81"/>
      <c r="O114" s="98">
        <f>SUM(O112:O113)</f>
        <v>6479.8273400649468</v>
      </c>
      <c r="P114" s="154"/>
      <c r="Q114" s="78">
        <f>SUM(Q112:Q113)</f>
        <v>5350.7668152836059</v>
      </c>
      <c r="R114" s="81"/>
      <c r="S114" s="98">
        <f>SUM(S112:S113)</f>
        <v>5845.378127236957</v>
      </c>
      <c r="T114" s="154"/>
      <c r="U114" s="78">
        <f>SUM(U112:U113)</f>
        <v>5294.3801097442465</v>
      </c>
      <c r="V114" s="81"/>
      <c r="W114" s="98">
        <f>SUM(W112:W113)</f>
        <v>4676.8215091611564</v>
      </c>
      <c r="X114" s="203"/>
      <c r="Y114" s="78">
        <f>SUM(Y112:Y113)</f>
        <v>4844.4012176159667</v>
      </c>
      <c r="Z114" s="9"/>
      <c r="AA114" s="23">
        <f>SUM(AA112:AA113)</f>
        <v>5921.3364945838966</v>
      </c>
    </row>
    <row r="116" spans="1:27" ht="30.75" customHeight="1">
      <c r="I116" s="214"/>
      <c r="K116" s="165"/>
      <c r="L116" s="177"/>
    </row>
    <row r="117" spans="1:27" ht="30.75" customHeight="1">
      <c r="I117" s="214"/>
      <c r="K117" s="178"/>
      <c r="M117" s="161"/>
      <c r="N117" s="162"/>
    </row>
    <row r="118" spans="1:27" ht="30.75" customHeight="1">
      <c r="I118" s="214"/>
      <c r="M118" s="163"/>
      <c r="N118" s="164"/>
    </row>
  </sheetData>
  <mergeCells count="206">
    <mergeCell ref="H4:V4"/>
    <mergeCell ref="H8:I8"/>
    <mergeCell ref="N6:O6"/>
    <mergeCell ref="A6:F6"/>
    <mergeCell ref="A7:F7"/>
    <mergeCell ref="A8:F8"/>
    <mergeCell ref="A9:F9"/>
    <mergeCell ref="A10:F10"/>
    <mergeCell ref="A11:F11"/>
    <mergeCell ref="T5:U5"/>
    <mergeCell ref="L5:M5"/>
    <mergeCell ref="N5:O5"/>
    <mergeCell ref="P5:Q5"/>
    <mergeCell ref="R5:S5"/>
    <mergeCell ref="A5:F5"/>
    <mergeCell ref="T9:U9"/>
    <mergeCell ref="T10:U10"/>
    <mergeCell ref="T11:U11"/>
    <mergeCell ref="J10:K10"/>
    <mergeCell ref="J9:K9"/>
    <mergeCell ref="H10:I10"/>
    <mergeCell ref="J8:K8"/>
    <mergeCell ref="J7:K7"/>
    <mergeCell ref="J6:K6"/>
    <mergeCell ref="H5:I5"/>
    <mergeCell ref="J5:K5"/>
    <mergeCell ref="H7:I7"/>
    <mergeCell ref="H6:I6"/>
    <mergeCell ref="N7:O7"/>
    <mergeCell ref="N8:O8"/>
    <mergeCell ref="V5:W5"/>
    <mergeCell ref="Z5:AA5"/>
    <mergeCell ref="X5:Y5"/>
    <mergeCell ref="X6:Y6"/>
    <mergeCell ref="X7:Y7"/>
    <mergeCell ref="X8:Y8"/>
    <mergeCell ref="T6:U6"/>
    <mergeCell ref="T7:U7"/>
    <mergeCell ref="T8:U8"/>
    <mergeCell ref="R8:S8"/>
    <mergeCell ref="Z6:AA6"/>
    <mergeCell ref="Z7:AA7"/>
    <mergeCell ref="Z8:AA8"/>
    <mergeCell ref="X9:Y9"/>
    <mergeCell ref="X10:Y10"/>
    <mergeCell ref="X11:Y11"/>
    <mergeCell ref="X12:Y12"/>
    <mergeCell ref="X13:Y13"/>
    <mergeCell ref="V6:W6"/>
    <mergeCell ref="V7:W7"/>
    <mergeCell ref="V8:W8"/>
    <mergeCell ref="V9:W9"/>
    <mergeCell ref="V10:W10"/>
    <mergeCell ref="V11:W11"/>
    <mergeCell ref="V12:W12"/>
    <mergeCell ref="V13:W13"/>
    <mergeCell ref="T12:U12"/>
    <mergeCell ref="T13:U13"/>
    <mergeCell ref="R11:S11"/>
    <mergeCell ref="R12:S12"/>
    <mergeCell ref="R13:S13"/>
    <mergeCell ref="A22:F22"/>
    <mergeCell ref="J11:K11"/>
    <mergeCell ref="J12:K12"/>
    <mergeCell ref="J13:K13"/>
    <mergeCell ref="B16:F16"/>
    <mergeCell ref="B17:F17"/>
    <mergeCell ref="A13:F13"/>
    <mergeCell ref="A12:F12"/>
    <mergeCell ref="B14:F14"/>
    <mergeCell ref="B15:F15"/>
    <mergeCell ref="H13:I13"/>
    <mergeCell ref="H12:I12"/>
    <mergeCell ref="H11:I11"/>
    <mergeCell ref="P11:Q11"/>
    <mergeCell ref="P12:Q12"/>
    <mergeCell ref="P13:Q13"/>
    <mergeCell ref="N11:O11"/>
    <mergeCell ref="N12:O12"/>
    <mergeCell ref="N13:O13"/>
    <mergeCell ref="B91:F91"/>
    <mergeCell ref="A83:F83"/>
    <mergeCell ref="A84:F84"/>
    <mergeCell ref="B85:F85"/>
    <mergeCell ref="B86:F86"/>
    <mergeCell ref="A77:F77"/>
    <mergeCell ref="A80:F80"/>
    <mergeCell ref="B81:F81"/>
    <mergeCell ref="A82:F82"/>
    <mergeCell ref="A79:F79"/>
    <mergeCell ref="A87:F87"/>
    <mergeCell ref="B102:F102"/>
    <mergeCell ref="A103:F103"/>
    <mergeCell ref="A105:F105"/>
    <mergeCell ref="B97:F97"/>
    <mergeCell ref="B98:F98"/>
    <mergeCell ref="B99:F99"/>
    <mergeCell ref="B100:F100"/>
    <mergeCell ref="B101:F101"/>
    <mergeCell ref="A96:F96"/>
    <mergeCell ref="B110:F110"/>
    <mergeCell ref="B111:F111"/>
    <mergeCell ref="B40:F40"/>
    <mergeCell ref="B41:F41"/>
    <mergeCell ref="B42:F42"/>
    <mergeCell ref="B30:F30"/>
    <mergeCell ref="B31:F31"/>
    <mergeCell ref="B24:F24"/>
    <mergeCell ref="B25:F25"/>
    <mergeCell ref="B26:F26"/>
    <mergeCell ref="A27:F27"/>
    <mergeCell ref="B29:F29"/>
    <mergeCell ref="B32:F32"/>
    <mergeCell ref="A38:F38"/>
    <mergeCell ref="B33:F33"/>
    <mergeCell ref="B34:F34"/>
    <mergeCell ref="B36:F36"/>
    <mergeCell ref="B37:F37"/>
    <mergeCell ref="B35:F35"/>
    <mergeCell ref="A39:F39"/>
    <mergeCell ref="A106:F106"/>
    <mergeCell ref="B107:F107"/>
    <mergeCell ref="B108:F108"/>
    <mergeCell ref="B109:F109"/>
    <mergeCell ref="H9:I9"/>
    <mergeCell ref="A28:F28"/>
    <mergeCell ref="B18:F18"/>
    <mergeCell ref="B19:F19"/>
    <mergeCell ref="B20:F20"/>
    <mergeCell ref="A21:F21"/>
    <mergeCell ref="A23:F23"/>
    <mergeCell ref="B74:F74"/>
    <mergeCell ref="B60:F60"/>
    <mergeCell ref="A61:F61"/>
    <mergeCell ref="B112:F112"/>
    <mergeCell ref="B113:F113"/>
    <mergeCell ref="A114:F114"/>
    <mergeCell ref="A46:F46"/>
    <mergeCell ref="A52:F52"/>
    <mergeCell ref="B92:F92"/>
    <mergeCell ref="B93:F93"/>
    <mergeCell ref="A94:F94"/>
    <mergeCell ref="A95:F95"/>
    <mergeCell ref="A62:F62"/>
    <mergeCell ref="A89:F89"/>
    <mergeCell ref="B90:F90"/>
    <mergeCell ref="A88:F88"/>
    <mergeCell ref="A53:F53"/>
    <mergeCell ref="A54:F54"/>
    <mergeCell ref="A63:F63"/>
    <mergeCell ref="A64:F64"/>
    <mergeCell ref="A78:F78"/>
    <mergeCell ref="B67:F67"/>
    <mergeCell ref="B68:F68"/>
    <mergeCell ref="B69:F69"/>
    <mergeCell ref="B70:F70"/>
    <mergeCell ref="B75:F75"/>
    <mergeCell ref="B76:F76"/>
    <mergeCell ref="Z9:AA9"/>
    <mergeCell ref="Z10:AA10"/>
    <mergeCell ref="Z11:AA11"/>
    <mergeCell ref="Z12:AA12"/>
    <mergeCell ref="Z13:AA13"/>
    <mergeCell ref="L6:M6"/>
    <mergeCell ref="L7:M7"/>
    <mergeCell ref="L8:M8"/>
    <mergeCell ref="L9:M9"/>
    <mergeCell ref="L10:M10"/>
    <mergeCell ref="L11:M11"/>
    <mergeCell ref="L12:M12"/>
    <mergeCell ref="L13:M13"/>
    <mergeCell ref="N9:O9"/>
    <mergeCell ref="R6:S6"/>
    <mergeCell ref="R7:S7"/>
    <mergeCell ref="R9:S9"/>
    <mergeCell ref="R10:S10"/>
    <mergeCell ref="N10:O10"/>
    <mergeCell ref="P6:Q6"/>
    <mergeCell ref="P7:Q7"/>
    <mergeCell ref="P8:Q8"/>
    <mergeCell ref="P9:Q9"/>
    <mergeCell ref="P10:Q10"/>
    <mergeCell ref="A4:F4"/>
    <mergeCell ref="H3:J3"/>
    <mergeCell ref="H2:J2"/>
    <mergeCell ref="A3:F3"/>
    <mergeCell ref="A2:F2"/>
    <mergeCell ref="A1:F1"/>
    <mergeCell ref="B71:F71"/>
    <mergeCell ref="B72:F72"/>
    <mergeCell ref="B73:F73"/>
    <mergeCell ref="B65:F65"/>
    <mergeCell ref="B66:F66"/>
    <mergeCell ref="B56:F56"/>
    <mergeCell ref="B57:F57"/>
    <mergeCell ref="B58:F58"/>
    <mergeCell ref="A47:F47"/>
    <mergeCell ref="A51:F51"/>
    <mergeCell ref="B48:F48"/>
    <mergeCell ref="B49:F49"/>
    <mergeCell ref="B50:F50"/>
    <mergeCell ref="B55:F55"/>
    <mergeCell ref="B59:F59"/>
    <mergeCell ref="B43:F43"/>
    <mergeCell ref="B44:F44"/>
    <mergeCell ref="A45:F4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43580-3C53-4BCA-80A0-9F4BE1522D47}">
  <dimension ref="B2:I13"/>
  <sheetViews>
    <sheetView showGridLines="0" zoomScaleNormal="100" workbookViewId="0">
      <selection activeCell="G4" sqref="G4"/>
    </sheetView>
  </sheetViews>
  <sheetFormatPr defaultRowHeight="15"/>
  <cols>
    <col min="1" max="1" width="5.140625" customWidth="1"/>
    <col min="2" max="2" width="22.140625" customWidth="1"/>
    <col min="3" max="3" width="55.5703125" customWidth="1"/>
    <col min="4" max="4" width="17.7109375" bestFit="1" customWidth="1"/>
    <col min="5" max="5" width="43" customWidth="1"/>
    <col min="6" max="6" width="15.42578125" customWidth="1"/>
    <col min="7" max="7" width="12" customWidth="1"/>
    <col min="8" max="8" width="13" customWidth="1"/>
    <col min="9" max="9" width="11.42578125" customWidth="1"/>
  </cols>
  <sheetData>
    <row r="2" spans="2:9">
      <c r="B2" s="302" t="s">
        <v>143</v>
      </c>
      <c r="C2" s="302" t="s">
        <v>144</v>
      </c>
      <c r="D2" s="302" t="s">
        <v>145</v>
      </c>
      <c r="E2" s="302" t="s">
        <v>146</v>
      </c>
      <c r="F2" s="302" t="s">
        <v>147</v>
      </c>
      <c r="G2" s="302" t="s">
        <v>148</v>
      </c>
      <c r="H2" s="302" t="s">
        <v>149</v>
      </c>
      <c r="I2" s="302" t="s">
        <v>150</v>
      </c>
    </row>
    <row r="3" spans="2:9" ht="41.25" customHeight="1">
      <c r="B3" s="304"/>
      <c r="C3" s="303"/>
      <c r="D3" s="303"/>
      <c r="E3" s="304"/>
      <c r="F3" s="303"/>
      <c r="G3" s="303"/>
      <c r="H3" s="303"/>
      <c r="I3" s="303"/>
    </row>
    <row r="4" spans="2:9" ht="60" customHeight="1">
      <c r="B4" s="149" t="s">
        <v>151</v>
      </c>
      <c r="C4" s="300" t="s">
        <v>152</v>
      </c>
      <c r="D4" s="301" t="s">
        <v>153</v>
      </c>
      <c r="E4" s="150">
        <v>3163.23</v>
      </c>
      <c r="F4" s="2">
        <v>18</v>
      </c>
      <c r="G4" s="2">
        <v>4.05</v>
      </c>
      <c r="H4" s="2">
        <f>228/12</f>
        <v>19</v>
      </c>
      <c r="I4" s="2">
        <v>13</v>
      </c>
    </row>
    <row r="5" spans="2:9">
      <c r="B5" s="149" t="s">
        <v>154</v>
      </c>
      <c r="C5" s="300"/>
      <c r="D5" s="301"/>
      <c r="E5" s="150">
        <v>2118.27</v>
      </c>
      <c r="F5" s="2"/>
      <c r="G5" s="2"/>
      <c r="H5" s="2"/>
      <c r="I5" s="2"/>
    </row>
    <row r="6" spans="2:9" ht="15" customHeight="1">
      <c r="B6" s="149" t="s">
        <v>155</v>
      </c>
      <c r="C6" s="300"/>
      <c r="D6" s="301"/>
      <c r="E6" s="150">
        <v>1876.18</v>
      </c>
      <c r="F6" s="2"/>
      <c r="G6" s="2"/>
      <c r="H6" s="2"/>
      <c r="I6" s="2"/>
    </row>
    <row r="7" spans="2:9">
      <c r="B7" s="149" t="s">
        <v>156</v>
      </c>
      <c r="C7" s="300"/>
      <c r="D7" s="301"/>
      <c r="E7" s="150">
        <f>ROUND((36/44)*$E$6,2)</f>
        <v>1535.06</v>
      </c>
      <c r="F7" s="2"/>
      <c r="G7" s="2"/>
      <c r="H7" s="2"/>
      <c r="I7" s="2"/>
    </row>
    <row r="8" spans="2:9">
      <c r="B8" s="149" t="s">
        <v>157</v>
      </c>
      <c r="C8" s="300"/>
      <c r="D8" s="301"/>
      <c r="E8" s="150">
        <f>ROUND((30/44)*$E$6,2)</f>
        <v>1279.21</v>
      </c>
      <c r="F8" s="2"/>
      <c r="G8" s="2"/>
      <c r="H8" s="2"/>
      <c r="I8" s="2"/>
    </row>
    <row r="10" spans="2:9">
      <c r="B10" s="37" t="s">
        <v>6</v>
      </c>
      <c r="C10" s="100" t="s">
        <v>239</v>
      </c>
      <c r="D10" s="160" t="s">
        <v>240</v>
      </c>
      <c r="E10" s="101" t="s">
        <v>207</v>
      </c>
    </row>
    <row r="11" spans="2:9" ht="84">
      <c r="B11" s="41" t="s">
        <v>241</v>
      </c>
      <c r="C11" s="99" t="s">
        <v>242</v>
      </c>
      <c r="D11" s="102" t="s">
        <v>243</v>
      </c>
      <c r="E11" s="99" t="s">
        <v>244</v>
      </c>
    </row>
    <row r="12" spans="2:9" ht="48">
      <c r="B12" s="41" t="s">
        <v>245</v>
      </c>
      <c r="C12" s="41" t="s">
        <v>246</v>
      </c>
      <c r="D12" s="99" t="s">
        <v>247</v>
      </c>
      <c r="E12" s="99" t="s">
        <v>248</v>
      </c>
    </row>
    <row r="13" spans="2:9" ht="72">
      <c r="B13" s="103" t="s">
        <v>249</v>
      </c>
      <c r="C13" s="41" t="s">
        <v>250</v>
      </c>
      <c r="D13" s="99" t="s">
        <v>251</v>
      </c>
      <c r="E13" s="99" t="s">
        <v>252</v>
      </c>
    </row>
  </sheetData>
  <mergeCells count="10">
    <mergeCell ref="C4:C8"/>
    <mergeCell ref="D4:D8"/>
    <mergeCell ref="H2:H3"/>
    <mergeCell ref="I2:I3"/>
    <mergeCell ref="B2:B3"/>
    <mergeCell ref="C2:C3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B47C-71B3-4C50-8FC7-CF828594C3DC}">
  <dimension ref="B1:I51"/>
  <sheetViews>
    <sheetView showGridLines="0" zoomScaleNormal="100" workbookViewId="0">
      <selection activeCell="D29" sqref="D29"/>
    </sheetView>
  </sheetViews>
  <sheetFormatPr defaultColWidth="9.140625" defaultRowHeight="12"/>
  <cols>
    <col min="1" max="1" width="2.42578125" style="47" customWidth="1"/>
    <col min="2" max="2" width="11.28515625" style="47" customWidth="1"/>
    <col min="3" max="3" width="29.5703125" style="47" bestFit="1" customWidth="1"/>
    <col min="4" max="4" width="21.5703125" style="47" bestFit="1" customWidth="1"/>
    <col min="5" max="5" width="39.5703125" style="47" bestFit="1" customWidth="1"/>
    <col min="6" max="6" width="52.85546875" style="47" bestFit="1" customWidth="1"/>
    <col min="7" max="7" width="11.28515625" style="59" bestFit="1" customWidth="1"/>
    <col min="8" max="8" width="14" style="47" bestFit="1" customWidth="1"/>
    <col min="9" max="9" width="19.28515625" style="47" bestFit="1" customWidth="1"/>
    <col min="10" max="10" width="13.5703125" style="47" bestFit="1" customWidth="1"/>
    <col min="11" max="16384" width="9.140625" style="47"/>
  </cols>
  <sheetData>
    <row r="1" spans="2:9">
      <c r="B1" s="122"/>
      <c r="C1" s="122"/>
      <c r="D1" s="122"/>
      <c r="E1" s="122"/>
      <c r="F1" s="122"/>
      <c r="G1" s="122"/>
      <c r="H1" s="122"/>
      <c r="I1" s="122"/>
    </row>
    <row r="2" spans="2:9">
      <c r="B2" s="122" t="s">
        <v>204</v>
      </c>
      <c r="C2" s="122"/>
      <c r="D2" s="122"/>
      <c r="E2" s="122"/>
      <c r="F2" s="122"/>
      <c r="G2" s="122"/>
      <c r="H2" s="122"/>
      <c r="I2" s="122"/>
    </row>
    <row r="3" spans="2:9">
      <c r="B3" s="122"/>
      <c r="C3" s="122"/>
      <c r="D3" s="122"/>
      <c r="E3" s="122"/>
      <c r="F3" s="122"/>
      <c r="G3" s="122"/>
      <c r="H3" s="122"/>
      <c r="I3" s="122"/>
    </row>
    <row r="4" spans="2:9" ht="24">
      <c r="B4" s="48" t="s">
        <v>87</v>
      </c>
      <c r="C4" s="142" t="s">
        <v>205</v>
      </c>
      <c r="D4" s="49" t="s">
        <v>71</v>
      </c>
      <c r="E4" s="50" t="s">
        <v>206</v>
      </c>
      <c r="F4" s="50" t="s">
        <v>207</v>
      </c>
      <c r="G4" s="47"/>
    </row>
    <row r="5" spans="2:9">
      <c r="B5" s="51" t="s">
        <v>15</v>
      </c>
      <c r="C5" s="141" t="s">
        <v>89</v>
      </c>
      <c r="D5" s="52">
        <v>0.2</v>
      </c>
      <c r="E5" s="53" t="s">
        <v>208</v>
      </c>
      <c r="F5" s="54" t="s">
        <v>209</v>
      </c>
      <c r="G5" s="47"/>
    </row>
    <row r="6" spans="2:9">
      <c r="B6" s="51" t="s">
        <v>16</v>
      </c>
      <c r="C6" s="141" t="s">
        <v>215</v>
      </c>
      <c r="D6" s="55">
        <v>2.5000000000000001E-2</v>
      </c>
      <c r="E6" s="53" t="s">
        <v>208</v>
      </c>
      <c r="F6" s="54" t="s">
        <v>216</v>
      </c>
      <c r="G6" s="47"/>
    </row>
    <row r="7" spans="2:9" ht="84">
      <c r="B7" s="51" t="s">
        <v>75</v>
      </c>
      <c r="C7" s="141" t="s">
        <v>218</v>
      </c>
      <c r="D7" s="55">
        <v>0.03</v>
      </c>
      <c r="E7" s="56" t="s">
        <v>219</v>
      </c>
      <c r="F7" s="40" t="s">
        <v>220</v>
      </c>
      <c r="G7" s="47"/>
    </row>
    <row r="8" spans="2:9">
      <c r="B8" s="51" t="s">
        <v>18</v>
      </c>
      <c r="C8" s="141" t="s">
        <v>210</v>
      </c>
      <c r="D8" s="55">
        <v>1.4999999999999999E-2</v>
      </c>
      <c r="E8" s="53" t="s">
        <v>208</v>
      </c>
      <c r="F8" s="54" t="s">
        <v>211</v>
      </c>
      <c r="G8" s="47"/>
    </row>
    <row r="9" spans="2:9">
      <c r="B9" s="51" t="s">
        <v>19</v>
      </c>
      <c r="C9" s="141" t="s">
        <v>212</v>
      </c>
      <c r="D9" s="55">
        <v>0.01</v>
      </c>
      <c r="E9" s="53" t="s">
        <v>208</v>
      </c>
      <c r="F9" s="54" t="s">
        <v>213</v>
      </c>
      <c r="G9" s="47"/>
    </row>
    <row r="10" spans="2:9">
      <c r="B10" s="51" t="s">
        <v>78</v>
      </c>
      <c r="C10" s="141" t="s">
        <v>94</v>
      </c>
      <c r="D10" s="55">
        <v>6.0000000000000001E-3</v>
      </c>
      <c r="E10" s="53" t="s">
        <v>208</v>
      </c>
      <c r="F10" s="54" t="s">
        <v>221</v>
      </c>
      <c r="G10" s="47"/>
    </row>
    <row r="11" spans="2:9">
      <c r="B11" s="51" t="s">
        <v>21</v>
      </c>
      <c r="C11" s="141" t="s">
        <v>95</v>
      </c>
      <c r="D11" s="55">
        <v>2E-3</v>
      </c>
      <c r="E11" s="53" t="s">
        <v>208</v>
      </c>
      <c r="F11" s="54" t="s">
        <v>214</v>
      </c>
      <c r="G11" s="47"/>
    </row>
    <row r="12" spans="2:9">
      <c r="B12" s="51" t="s">
        <v>96</v>
      </c>
      <c r="C12" s="141" t="s">
        <v>97</v>
      </c>
      <c r="D12" s="55">
        <v>0.08</v>
      </c>
      <c r="E12" s="53" t="s">
        <v>208</v>
      </c>
      <c r="F12" s="54" t="s">
        <v>217</v>
      </c>
      <c r="G12" s="47"/>
    </row>
    <row r="13" spans="2:9">
      <c r="B13" s="143" t="s">
        <v>222</v>
      </c>
      <c r="C13" s="143"/>
      <c r="D13" s="57">
        <f>SUM(D5:D12)</f>
        <v>0.36800000000000005</v>
      </c>
      <c r="G13" s="47"/>
    </row>
    <row r="14" spans="2:9" ht="15">
      <c r="B14"/>
      <c r="C14"/>
      <c r="D14"/>
      <c r="G14" s="47"/>
    </row>
    <row r="15" spans="2:9" ht="15">
      <c r="B15" s="148" t="s">
        <v>223</v>
      </c>
      <c r="C15"/>
      <c r="D15"/>
      <c r="G15" s="47"/>
    </row>
    <row r="16" spans="2:9">
      <c r="B16" s="147" t="s">
        <v>120</v>
      </c>
      <c r="C16" s="142" t="s">
        <v>224</v>
      </c>
      <c r="D16" s="49" t="s">
        <v>71</v>
      </c>
      <c r="E16" s="50" t="s">
        <v>206</v>
      </c>
      <c r="F16" s="50" t="s">
        <v>207</v>
      </c>
      <c r="G16" s="47"/>
    </row>
    <row r="17" spans="2:8">
      <c r="B17" s="51" t="s">
        <v>15</v>
      </c>
      <c r="C17" s="141" t="s">
        <v>224</v>
      </c>
      <c r="D17" s="180">
        <f>ROUND((1/12),4)</f>
        <v>8.3299999999999999E-2</v>
      </c>
      <c r="E17" s="181" t="s">
        <v>253</v>
      </c>
      <c r="F17" s="54" t="s">
        <v>225</v>
      </c>
      <c r="G17" s="47"/>
    </row>
    <row r="18" spans="2:8">
      <c r="B18" s="51" t="s">
        <v>75</v>
      </c>
      <c r="C18" s="141" t="s">
        <v>85</v>
      </c>
      <c r="D18" s="180">
        <f>ROUND((1/36),4)</f>
        <v>2.7799999999999998E-2</v>
      </c>
      <c r="E18" s="182" t="s">
        <v>254</v>
      </c>
      <c r="F18" s="40"/>
      <c r="G18" s="47"/>
      <c r="H18" s="166"/>
    </row>
    <row r="19" spans="2:8">
      <c r="B19" s="143" t="s">
        <v>222</v>
      </c>
      <c r="C19" s="143"/>
      <c r="D19" s="57">
        <f>SUM(D17:D18)</f>
        <v>0.1111</v>
      </c>
      <c r="G19" s="47"/>
    </row>
    <row r="20" spans="2:8" ht="15">
      <c r="B20"/>
      <c r="C20"/>
      <c r="D20"/>
      <c r="E20"/>
      <c r="G20" s="47"/>
    </row>
    <row r="21" spans="2:8">
      <c r="B21" s="148" t="s">
        <v>106</v>
      </c>
      <c r="C21" s="144"/>
      <c r="D21" s="144"/>
      <c r="G21" s="47"/>
    </row>
    <row r="22" spans="2:8">
      <c r="B22" s="58">
        <v>3</v>
      </c>
      <c r="C22" s="142" t="s">
        <v>226</v>
      </c>
      <c r="D22" s="49" t="s">
        <v>299</v>
      </c>
      <c r="E22" s="50" t="s">
        <v>206</v>
      </c>
      <c r="F22" s="50" t="s">
        <v>207</v>
      </c>
      <c r="G22" s="47"/>
    </row>
    <row r="23" spans="2:8">
      <c r="B23" s="51" t="s">
        <v>15</v>
      </c>
      <c r="C23" s="141" t="s">
        <v>227</v>
      </c>
      <c r="D23" s="213">
        <v>0.05</v>
      </c>
      <c r="E23" s="53" t="s">
        <v>297</v>
      </c>
      <c r="F23" s="54" t="s">
        <v>228</v>
      </c>
      <c r="G23" s="47"/>
    </row>
    <row r="24" spans="2:8" ht="24">
      <c r="B24" s="51" t="s">
        <v>16</v>
      </c>
      <c r="C24" s="141" t="s">
        <v>229</v>
      </c>
      <c r="D24" s="213">
        <f>D23</f>
        <v>0.05</v>
      </c>
      <c r="E24" s="53" t="s">
        <v>302</v>
      </c>
      <c r="F24" s="40" t="s">
        <v>301</v>
      </c>
      <c r="G24" s="47"/>
    </row>
    <row r="25" spans="2:8" ht="48">
      <c r="B25" s="51" t="s">
        <v>75</v>
      </c>
      <c r="C25" s="141" t="s">
        <v>230</v>
      </c>
      <c r="D25" s="213">
        <f>D23</f>
        <v>0.05</v>
      </c>
      <c r="E25" s="193" t="s">
        <v>303</v>
      </c>
      <c r="F25" s="40" t="s">
        <v>300</v>
      </c>
      <c r="G25" s="47"/>
    </row>
    <row r="26" spans="2:8">
      <c r="B26" s="51" t="s">
        <v>18</v>
      </c>
      <c r="C26" s="141" t="s">
        <v>231</v>
      </c>
      <c r="D26" s="213">
        <v>0.95</v>
      </c>
      <c r="E26" s="193"/>
      <c r="F26" s="54" t="s">
        <v>228</v>
      </c>
      <c r="G26" s="47"/>
    </row>
    <row r="27" spans="2:8" ht="36">
      <c r="B27" s="51" t="s">
        <v>19</v>
      </c>
      <c r="C27" s="141" t="s">
        <v>232</v>
      </c>
      <c r="D27" s="213">
        <f>D26</f>
        <v>0.95</v>
      </c>
      <c r="E27" s="193"/>
      <c r="F27" s="40" t="s">
        <v>298</v>
      </c>
      <c r="G27" s="47"/>
    </row>
    <row r="28" spans="2:8" ht="48">
      <c r="B28" s="51" t="s">
        <v>78</v>
      </c>
      <c r="C28" s="141" t="s">
        <v>233</v>
      </c>
      <c r="D28" s="213">
        <f>D26</f>
        <v>0.95</v>
      </c>
      <c r="E28" s="193"/>
      <c r="F28" s="40" t="s">
        <v>300</v>
      </c>
      <c r="G28" s="47"/>
    </row>
    <row r="29" spans="2:8">
      <c r="B29" s="143" t="s">
        <v>222</v>
      </c>
      <c r="C29" s="143"/>
      <c r="D29" s="57">
        <f>D23+D26</f>
        <v>1</v>
      </c>
      <c r="G29" s="47"/>
    </row>
    <row r="30" spans="2:8" ht="15">
      <c r="B30"/>
      <c r="C30"/>
      <c r="D30"/>
      <c r="G30" s="47"/>
    </row>
    <row r="31" spans="2:8">
      <c r="C31" s="145" t="s">
        <v>129</v>
      </c>
      <c r="D31" s="146"/>
    </row>
    <row r="32" spans="2:8">
      <c r="C32" s="60" t="s">
        <v>234</v>
      </c>
      <c r="D32" s="61">
        <v>1.6500000000000001E-2</v>
      </c>
    </row>
    <row r="33" spans="3:5">
      <c r="C33" s="60" t="s">
        <v>235</v>
      </c>
      <c r="D33" s="61">
        <v>7.5999999999999998E-2</v>
      </c>
    </row>
    <row r="34" spans="3:5">
      <c r="C34" s="60" t="s">
        <v>236</v>
      </c>
      <c r="D34" s="61">
        <v>0.05</v>
      </c>
    </row>
    <row r="35" spans="3:5">
      <c r="C35" s="60" t="s">
        <v>237</v>
      </c>
      <c r="D35" s="61">
        <v>0.1</v>
      </c>
    </row>
    <row r="36" spans="3:5">
      <c r="C36" s="60" t="s">
        <v>238</v>
      </c>
      <c r="D36" s="61">
        <v>0.1</v>
      </c>
    </row>
    <row r="38" spans="3:5" ht="24">
      <c r="C38" s="58" t="s">
        <v>179</v>
      </c>
      <c r="D38" s="190" t="s">
        <v>275</v>
      </c>
      <c r="E38" s="190" t="s">
        <v>276</v>
      </c>
    </row>
    <row r="39" spans="3:5">
      <c r="C39" s="51" t="s">
        <v>258</v>
      </c>
      <c r="D39" s="191">
        <v>30</v>
      </c>
      <c r="E39" s="191">
        <v>30</v>
      </c>
    </row>
    <row r="40" spans="3:5">
      <c r="C40" s="51" t="s">
        <v>259</v>
      </c>
      <c r="D40" s="191">
        <v>5</v>
      </c>
      <c r="E40" s="191"/>
    </row>
    <row r="41" spans="3:5">
      <c r="C41" s="51" t="s">
        <v>260</v>
      </c>
      <c r="D41" s="191"/>
      <c r="E41" s="191"/>
    </row>
    <row r="42" spans="3:5">
      <c r="C42" s="51" t="s">
        <v>261</v>
      </c>
      <c r="D42" s="191"/>
      <c r="E42" s="191"/>
    </row>
    <row r="43" spans="3:5">
      <c r="C43" s="51" t="s">
        <v>262</v>
      </c>
      <c r="D43" s="191"/>
      <c r="E43" s="191"/>
    </row>
    <row r="44" spans="3:5">
      <c r="C44" s="51" t="s">
        <v>263</v>
      </c>
      <c r="D44" s="191"/>
      <c r="E44" s="191"/>
    </row>
    <row r="45" spans="3:5">
      <c r="C45" s="51" t="s">
        <v>264</v>
      </c>
      <c r="D45" s="191"/>
      <c r="E45" s="191"/>
    </row>
    <row r="46" spans="3:5">
      <c r="C46" s="51" t="s">
        <v>265</v>
      </c>
      <c r="D46" s="191"/>
      <c r="E46" s="191">
        <v>1</v>
      </c>
    </row>
    <row r="47" spans="3:5">
      <c r="C47" s="51" t="s">
        <v>266</v>
      </c>
      <c r="D47" s="191"/>
      <c r="E47" s="191"/>
    </row>
    <row r="48" spans="3:5">
      <c r="C48" s="51" t="s">
        <v>267</v>
      </c>
      <c r="D48" s="191"/>
      <c r="E48" s="191"/>
    </row>
    <row r="49" spans="3:5">
      <c r="C49" s="51" t="s">
        <v>268</v>
      </c>
      <c r="D49" s="191"/>
      <c r="E49" s="191"/>
    </row>
    <row r="50" spans="3:5">
      <c r="C50" s="51" t="s">
        <v>269</v>
      </c>
      <c r="D50" s="191"/>
      <c r="E50" s="191"/>
    </row>
    <row r="51" spans="3:5" ht="36">
      <c r="C51" s="189" t="s">
        <v>274</v>
      </c>
      <c r="D51" s="192">
        <f>SUM(D39:D50)</f>
        <v>35</v>
      </c>
      <c r="E51" s="191"/>
    </row>
  </sheetData>
  <printOptions horizontalCentered="1"/>
  <pageMargins left="0.51181102362204722" right="0.51181102362204722" top="1.5748031496062993" bottom="1.1811023622047245" header="0.31496062992125984" footer="0.31496062992125984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FAB0-A30F-4268-8EC2-E7B8AF765A3D}">
  <dimension ref="B1:I30"/>
  <sheetViews>
    <sheetView showGridLines="0" zoomScaleNormal="100" workbookViewId="0">
      <selection activeCell="D13" sqref="D13"/>
    </sheetView>
  </sheetViews>
  <sheetFormatPr defaultRowHeight="15"/>
  <cols>
    <col min="1" max="1" width="3" style="36" customWidth="1"/>
    <col min="2" max="2" width="43.85546875" style="36" bestFit="1" customWidth="1"/>
    <col min="3" max="3" width="10.7109375" style="36" bestFit="1" customWidth="1"/>
    <col min="4" max="4" width="19" style="36" customWidth="1"/>
    <col min="5" max="5" width="10.7109375" style="36" bestFit="1" customWidth="1"/>
    <col min="6" max="6" width="9.85546875" style="36" bestFit="1" customWidth="1"/>
    <col min="7" max="7" width="12.140625" style="36" bestFit="1" customWidth="1"/>
    <col min="8" max="8" width="20.7109375" style="36" bestFit="1" customWidth="1"/>
    <col min="9" max="9" width="14.28515625" style="36" customWidth="1"/>
    <col min="10" max="10" width="9.140625" style="36"/>
    <col min="11" max="12" width="20.7109375" style="36" bestFit="1" customWidth="1"/>
    <col min="13" max="246" width="9.140625" style="36"/>
    <col min="247" max="247" width="3" style="36" customWidth="1"/>
    <col min="248" max="248" width="20.5703125" style="36" customWidth="1"/>
    <col min="249" max="249" width="31.42578125" style="36" customWidth="1"/>
    <col min="250" max="250" width="43.85546875" style="36" bestFit="1" customWidth="1"/>
    <col min="251" max="252" width="17" style="36" customWidth="1"/>
    <col min="253" max="253" width="9.140625" style="36"/>
    <col min="254" max="254" width="24.28515625" style="36" customWidth="1"/>
    <col min="255" max="257" width="15.28515625" style="36" customWidth="1"/>
    <col min="258" max="502" width="9.140625" style="36"/>
    <col min="503" max="503" width="3" style="36" customWidth="1"/>
    <col min="504" max="504" width="20.5703125" style="36" customWidth="1"/>
    <col min="505" max="505" width="31.42578125" style="36" customWidth="1"/>
    <col min="506" max="506" width="43.85546875" style="36" bestFit="1" customWidth="1"/>
    <col min="507" max="508" width="17" style="36" customWidth="1"/>
    <col min="509" max="509" width="9.140625" style="36"/>
    <col min="510" max="510" width="24.28515625" style="36" customWidth="1"/>
    <col min="511" max="513" width="15.28515625" style="36" customWidth="1"/>
    <col min="514" max="758" width="9.140625" style="36"/>
    <col min="759" max="759" width="3" style="36" customWidth="1"/>
    <col min="760" max="760" width="20.5703125" style="36" customWidth="1"/>
    <col min="761" max="761" width="31.42578125" style="36" customWidth="1"/>
    <col min="762" max="762" width="43.85546875" style="36" bestFit="1" customWidth="1"/>
    <col min="763" max="764" width="17" style="36" customWidth="1"/>
    <col min="765" max="765" width="9.140625" style="36"/>
    <col min="766" max="766" width="24.28515625" style="36" customWidth="1"/>
    <col min="767" max="769" width="15.28515625" style="36" customWidth="1"/>
    <col min="770" max="1014" width="9.140625" style="36"/>
    <col min="1015" max="1015" width="3" style="36" customWidth="1"/>
    <col min="1016" max="1016" width="20.5703125" style="36" customWidth="1"/>
    <col min="1017" max="1017" width="31.42578125" style="36" customWidth="1"/>
    <col min="1018" max="1018" width="43.85546875" style="36" bestFit="1" customWidth="1"/>
    <col min="1019" max="1020" width="17" style="36" customWidth="1"/>
    <col min="1021" max="1021" width="9.140625" style="36"/>
    <col min="1022" max="1022" width="24.28515625" style="36" customWidth="1"/>
    <col min="1023" max="1025" width="15.28515625" style="36" customWidth="1"/>
    <col min="1026" max="1270" width="9.140625" style="36"/>
    <col min="1271" max="1271" width="3" style="36" customWidth="1"/>
    <col min="1272" max="1272" width="20.5703125" style="36" customWidth="1"/>
    <col min="1273" max="1273" width="31.42578125" style="36" customWidth="1"/>
    <col min="1274" max="1274" width="43.85546875" style="36" bestFit="1" customWidth="1"/>
    <col min="1275" max="1276" width="17" style="36" customWidth="1"/>
    <col min="1277" max="1277" width="9.140625" style="36"/>
    <col min="1278" max="1278" width="24.28515625" style="36" customWidth="1"/>
    <col min="1279" max="1281" width="15.28515625" style="36" customWidth="1"/>
    <col min="1282" max="1526" width="9.140625" style="36"/>
    <col min="1527" max="1527" width="3" style="36" customWidth="1"/>
    <col min="1528" max="1528" width="20.5703125" style="36" customWidth="1"/>
    <col min="1529" max="1529" width="31.42578125" style="36" customWidth="1"/>
    <col min="1530" max="1530" width="43.85546875" style="36" bestFit="1" customWidth="1"/>
    <col min="1531" max="1532" width="17" style="36" customWidth="1"/>
    <col min="1533" max="1533" width="9.140625" style="36"/>
    <col min="1534" max="1534" width="24.28515625" style="36" customWidth="1"/>
    <col min="1535" max="1537" width="15.28515625" style="36" customWidth="1"/>
    <col min="1538" max="1782" width="9.140625" style="36"/>
    <col min="1783" max="1783" width="3" style="36" customWidth="1"/>
    <col min="1784" max="1784" width="20.5703125" style="36" customWidth="1"/>
    <col min="1785" max="1785" width="31.42578125" style="36" customWidth="1"/>
    <col min="1786" max="1786" width="43.85546875" style="36" bestFit="1" customWidth="1"/>
    <col min="1787" max="1788" width="17" style="36" customWidth="1"/>
    <col min="1789" max="1789" width="9.140625" style="36"/>
    <col min="1790" max="1790" width="24.28515625" style="36" customWidth="1"/>
    <col min="1791" max="1793" width="15.28515625" style="36" customWidth="1"/>
    <col min="1794" max="2038" width="9.140625" style="36"/>
    <col min="2039" max="2039" width="3" style="36" customWidth="1"/>
    <col min="2040" max="2040" width="20.5703125" style="36" customWidth="1"/>
    <col min="2041" max="2041" width="31.42578125" style="36" customWidth="1"/>
    <col min="2042" max="2042" width="43.85546875" style="36" bestFit="1" customWidth="1"/>
    <col min="2043" max="2044" width="17" style="36" customWidth="1"/>
    <col min="2045" max="2045" width="9.140625" style="36"/>
    <col min="2046" max="2046" width="24.28515625" style="36" customWidth="1"/>
    <col min="2047" max="2049" width="15.28515625" style="36" customWidth="1"/>
    <col min="2050" max="2294" width="9.140625" style="36"/>
    <col min="2295" max="2295" width="3" style="36" customWidth="1"/>
    <col min="2296" max="2296" width="20.5703125" style="36" customWidth="1"/>
    <col min="2297" max="2297" width="31.42578125" style="36" customWidth="1"/>
    <col min="2298" max="2298" width="43.85546875" style="36" bestFit="1" customWidth="1"/>
    <col min="2299" max="2300" width="17" style="36" customWidth="1"/>
    <col min="2301" max="2301" width="9.140625" style="36"/>
    <col min="2302" max="2302" width="24.28515625" style="36" customWidth="1"/>
    <col min="2303" max="2305" width="15.28515625" style="36" customWidth="1"/>
    <col min="2306" max="2550" width="9.140625" style="36"/>
    <col min="2551" max="2551" width="3" style="36" customWidth="1"/>
    <col min="2552" max="2552" width="20.5703125" style="36" customWidth="1"/>
    <col min="2553" max="2553" width="31.42578125" style="36" customWidth="1"/>
    <col min="2554" max="2554" width="43.85546875" style="36" bestFit="1" customWidth="1"/>
    <col min="2555" max="2556" width="17" style="36" customWidth="1"/>
    <col min="2557" max="2557" width="9.140625" style="36"/>
    <col min="2558" max="2558" width="24.28515625" style="36" customWidth="1"/>
    <col min="2559" max="2561" width="15.28515625" style="36" customWidth="1"/>
    <col min="2562" max="2806" width="9.140625" style="36"/>
    <col min="2807" max="2807" width="3" style="36" customWidth="1"/>
    <col min="2808" max="2808" width="20.5703125" style="36" customWidth="1"/>
    <col min="2809" max="2809" width="31.42578125" style="36" customWidth="1"/>
    <col min="2810" max="2810" width="43.85546875" style="36" bestFit="1" customWidth="1"/>
    <col min="2811" max="2812" width="17" style="36" customWidth="1"/>
    <col min="2813" max="2813" width="9.140625" style="36"/>
    <col min="2814" max="2814" width="24.28515625" style="36" customWidth="1"/>
    <col min="2815" max="2817" width="15.28515625" style="36" customWidth="1"/>
    <col min="2818" max="3062" width="9.140625" style="36"/>
    <col min="3063" max="3063" width="3" style="36" customWidth="1"/>
    <col min="3064" max="3064" width="20.5703125" style="36" customWidth="1"/>
    <col min="3065" max="3065" width="31.42578125" style="36" customWidth="1"/>
    <col min="3066" max="3066" width="43.85546875" style="36" bestFit="1" customWidth="1"/>
    <col min="3067" max="3068" width="17" style="36" customWidth="1"/>
    <col min="3069" max="3069" width="9.140625" style="36"/>
    <col min="3070" max="3070" width="24.28515625" style="36" customWidth="1"/>
    <col min="3071" max="3073" width="15.28515625" style="36" customWidth="1"/>
    <col min="3074" max="3318" width="9.140625" style="36"/>
    <col min="3319" max="3319" width="3" style="36" customWidth="1"/>
    <col min="3320" max="3320" width="20.5703125" style="36" customWidth="1"/>
    <col min="3321" max="3321" width="31.42578125" style="36" customWidth="1"/>
    <col min="3322" max="3322" width="43.85546875" style="36" bestFit="1" customWidth="1"/>
    <col min="3323" max="3324" width="17" style="36" customWidth="1"/>
    <col min="3325" max="3325" width="9.140625" style="36"/>
    <col min="3326" max="3326" width="24.28515625" style="36" customWidth="1"/>
    <col min="3327" max="3329" width="15.28515625" style="36" customWidth="1"/>
    <col min="3330" max="3574" width="9.140625" style="36"/>
    <col min="3575" max="3575" width="3" style="36" customWidth="1"/>
    <col min="3576" max="3576" width="20.5703125" style="36" customWidth="1"/>
    <col min="3577" max="3577" width="31.42578125" style="36" customWidth="1"/>
    <col min="3578" max="3578" width="43.85546875" style="36" bestFit="1" customWidth="1"/>
    <col min="3579" max="3580" width="17" style="36" customWidth="1"/>
    <col min="3581" max="3581" width="9.140625" style="36"/>
    <col min="3582" max="3582" width="24.28515625" style="36" customWidth="1"/>
    <col min="3583" max="3585" width="15.28515625" style="36" customWidth="1"/>
    <col min="3586" max="3830" width="9.140625" style="36"/>
    <col min="3831" max="3831" width="3" style="36" customWidth="1"/>
    <col min="3832" max="3832" width="20.5703125" style="36" customWidth="1"/>
    <col min="3833" max="3833" width="31.42578125" style="36" customWidth="1"/>
    <col min="3834" max="3834" width="43.85546875" style="36" bestFit="1" customWidth="1"/>
    <col min="3835" max="3836" width="17" style="36" customWidth="1"/>
    <col min="3837" max="3837" width="9.140625" style="36"/>
    <col min="3838" max="3838" width="24.28515625" style="36" customWidth="1"/>
    <col min="3839" max="3841" width="15.28515625" style="36" customWidth="1"/>
    <col min="3842" max="4086" width="9.140625" style="36"/>
    <col min="4087" max="4087" width="3" style="36" customWidth="1"/>
    <col min="4088" max="4088" width="20.5703125" style="36" customWidth="1"/>
    <col min="4089" max="4089" width="31.42578125" style="36" customWidth="1"/>
    <col min="4090" max="4090" width="43.85546875" style="36" bestFit="1" customWidth="1"/>
    <col min="4091" max="4092" width="17" style="36" customWidth="1"/>
    <col min="4093" max="4093" width="9.140625" style="36"/>
    <col min="4094" max="4094" width="24.28515625" style="36" customWidth="1"/>
    <col min="4095" max="4097" width="15.28515625" style="36" customWidth="1"/>
    <col min="4098" max="4342" width="9.140625" style="36"/>
    <col min="4343" max="4343" width="3" style="36" customWidth="1"/>
    <col min="4344" max="4344" width="20.5703125" style="36" customWidth="1"/>
    <col min="4345" max="4345" width="31.42578125" style="36" customWidth="1"/>
    <col min="4346" max="4346" width="43.85546875" style="36" bestFit="1" customWidth="1"/>
    <col min="4347" max="4348" width="17" style="36" customWidth="1"/>
    <col min="4349" max="4349" width="9.140625" style="36"/>
    <col min="4350" max="4350" width="24.28515625" style="36" customWidth="1"/>
    <col min="4351" max="4353" width="15.28515625" style="36" customWidth="1"/>
    <col min="4354" max="4598" width="9.140625" style="36"/>
    <col min="4599" max="4599" width="3" style="36" customWidth="1"/>
    <col min="4600" max="4600" width="20.5703125" style="36" customWidth="1"/>
    <col min="4601" max="4601" width="31.42578125" style="36" customWidth="1"/>
    <col min="4602" max="4602" width="43.85546875" style="36" bestFit="1" customWidth="1"/>
    <col min="4603" max="4604" width="17" style="36" customWidth="1"/>
    <col min="4605" max="4605" width="9.140625" style="36"/>
    <col min="4606" max="4606" width="24.28515625" style="36" customWidth="1"/>
    <col min="4607" max="4609" width="15.28515625" style="36" customWidth="1"/>
    <col min="4610" max="4854" width="9.140625" style="36"/>
    <col min="4855" max="4855" width="3" style="36" customWidth="1"/>
    <col min="4856" max="4856" width="20.5703125" style="36" customWidth="1"/>
    <col min="4857" max="4857" width="31.42578125" style="36" customWidth="1"/>
    <col min="4858" max="4858" width="43.85546875" style="36" bestFit="1" customWidth="1"/>
    <col min="4859" max="4860" width="17" style="36" customWidth="1"/>
    <col min="4861" max="4861" width="9.140625" style="36"/>
    <col min="4862" max="4862" width="24.28515625" style="36" customWidth="1"/>
    <col min="4863" max="4865" width="15.28515625" style="36" customWidth="1"/>
    <col min="4866" max="5110" width="9.140625" style="36"/>
    <col min="5111" max="5111" width="3" style="36" customWidth="1"/>
    <col min="5112" max="5112" width="20.5703125" style="36" customWidth="1"/>
    <col min="5113" max="5113" width="31.42578125" style="36" customWidth="1"/>
    <col min="5114" max="5114" width="43.85546875" style="36" bestFit="1" customWidth="1"/>
    <col min="5115" max="5116" width="17" style="36" customWidth="1"/>
    <col min="5117" max="5117" width="9.140625" style="36"/>
    <col min="5118" max="5118" width="24.28515625" style="36" customWidth="1"/>
    <col min="5119" max="5121" width="15.28515625" style="36" customWidth="1"/>
    <col min="5122" max="5366" width="9.140625" style="36"/>
    <col min="5367" max="5367" width="3" style="36" customWidth="1"/>
    <col min="5368" max="5368" width="20.5703125" style="36" customWidth="1"/>
    <col min="5369" max="5369" width="31.42578125" style="36" customWidth="1"/>
    <col min="5370" max="5370" width="43.85546875" style="36" bestFit="1" customWidth="1"/>
    <col min="5371" max="5372" width="17" style="36" customWidth="1"/>
    <col min="5373" max="5373" width="9.140625" style="36"/>
    <col min="5374" max="5374" width="24.28515625" style="36" customWidth="1"/>
    <col min="5375" max="5377" width="15.28515625" style="36" customWidth="1"/>
    <col min="5378" max="5622" width="9.140625" style="36"/>
    <col min="5623" max="5623" width="3" style="36" customWidth="1"/>
    <col min="5624" max="5624" width="20.5703125" style="36" customWidth="1"/>
    <col min="5625" max="5625" width="31.42578125" style="36" customWidth="1"/>
    <col min="5626" max="5626" width="43.85546875" style="36" bestFit="1" customWidth="1"/>
    <col min="5627" max="5628" width="17" style="36" customWidth="1"/>
    <col min="5629" max="5629" width="9.140625" style="36"/>
    <col min="5630" max="5630" width="24.28515625" style="36" customWidth="1"/>
    <col min="5631" max="5633" width="15.28515625" style="36" customWidth="1"/>
    <col min="5634" max="5878" width="9.140625" style="36"/>
    <col min="5879" max="5879" width="3" style="36" customWidth="1"/>
    <col min="5880" max="5880" width="20.5703125" style="36" customWidth="1"/>
    <col min="5881" max="5881" width="31.42578125" style="36" customWidth="1"/>
    <col min="5882" max="5882" width="43.85546875" style="36" bestFit="1" customWidth="1"/>
    <col min="5883" max="5884" width="17" style="36" customWidth="1"/>
    <col min="5885" max="5885" width="9.140625" style="36"/>
    <col min="5886" max="5886" width="24.28515625" style="36" customWidth="1"/>
    <col min="5887" max="5889" width="15.28515625" style="36" customWidth="1"/>
    <col min="5890" max="6134" width="9.140625" style="36"/>
    <col min="6135" max="6135" width="3" style="36" customWidth="1"/>
    <col min="6136" max="6136" width="20.5703125" style="36" customWidth="1"/>
    <col min="6137" max="6137" width="31.42578125" style="36" customWidth="1"/>
    <col min="6138" max="6138" width="43.85546875" style="36" bestFit="1" customWidth="1"/>
    <col min="6139" max="6140" width="17" style="36" customWidth="1"/>
    <col min="6141" max="6141" width="9.140625" style="36"/>
    <col min="6142" max="6142" width="24.28515625" style="36" customWidth="1"/>
    <col min="6143" max="6145" width="15.28515625" style="36" customWidth="1"/>
    <col min="6146" max="6390" width="9.140625" style="36"/>
    <col min="6391" max="6391" width="3" style="36" customWidth="1"/>
    <col min="6392" max="6392" width="20.5703125" style="36" customWidth="1"/>
    <col min="6393" max="6393" width="31.42578125" style="36" customWidth="1"/>
    <col min="6394" max="6394" width="43.85546875" style="36" bestFit="1" customWidth="1"/>
    <col min="6395" max="6396" width="17" style="36" customWidth="1"/>
    <col min="6397" max="6397" width="9.140625" style="36"/>
    <col min="6398" max="6398" width="24.28515625" style="36" customWidth="1"/>
    <col min="6399" max="6401" width="15.28515625" style="36" customWidth="1"/>
    <col min="6402" max="6646" width="9.140625" style="36"/>
    <col min="6647" max="6647" width="3" style="36" customWidth="1"/>
    <col min="6648" max="6648" width="20.5703125" style="36" customWidth="1"/>
    <col min="6649" max="6649" width="31.42578125" style="36" customWidth="1"/>
    <col min="6650" max="6650" width="43.85546875" style="36" bestFit="1" customWidth="1"/>
    <col min="6651" max="6652" width="17" style="36" customWidth="1"/>
    <col min="6653" max="6653" width="9.140625" style="36"/>
    <col min="6654" max="6654" width="24.28515625" style="36" customWidth="1"/>
    <col min="6655" max="6657" width="15.28515625" style="36" customWidth="1"/>
    <col min="6658" max="6902" width="9.140625" style="36"/>
    <col min="6903" max="6903" width="3" style="36" customWidth="1"/>
    <col min="6904" max="6904" width="20.5703125" style="36" customWidth="1"/>
    <col min="6905" max="6905" width="31.42578125" style="36" customWidth="1"/>
    <col min="6906" max="6906" width="43.85546875" style="36" bestFit="1" customWidth="1"/>
    <col min="6907" max="6908" width="17" style="36" customWidth="1"/>
    <col min="6909" max="6909" width="9.140625" style="36"/>
    <col min="6910" max="6910" width="24.28515625" style="36" customWidth="1"/>
    <col min="6911" max="6913" width="15.28515625" style="36" customWidth="1"/>
    <col min="6914" max="7158" width="9.140625" style="36"/>
    <col min="7159" max="7159" width="3" style="36" customWidth="1"/>
    <col min="7160" max="7160" width="20.5703125" style="36" customWidth="1"/>
    <col min="7161" max="7161" width="31.42578125" style="36" customWidth="1"/>
    <col min="7162" max="7162" width="43.85546875" style="36" bestFit="1" customWidth="1"/>
    <col min="7163" max="7164" width="17" style="36" customWidth="1"/>
    <col min="7165" max="7165" width="9.140625" style="36"/>
    <col min="7166" max="7166" width="24.28515625" style="36" customWidth="1"/>
    <col min="7167" max="7169" width="15.28515625" style="36" customWidth="1"/>
    <col min="7170" max="7414" width="9.140625" style="36"/>
    <col min="7415" max="7415" width="3" style="36" customWidth="1"/>
    <col min="7416" max="7416" width="20.5703125" style="36" customWidth="1"/>
    <col min="7417" max="7417" width="31.42578125" style="36" customWidth="1"/>
    <col min="7418" max="7418" width="43.85546875" style="36" bestFit="1" customWidth="1"/>
    <col min="7419" max="7420" width="17" style="36" customWidth="1"/>
    <col min="7421" max="7421" width="9.140625" style="36"/>
    <col min="7422" max="7422" width="24.28515625" style="36" customWidth="1"/>
    <col min="7423" max="7425" width="15.28515625" style="36" customWidth="1"/>
    <col min="7426" max="7670" width="9.140625" style="36"/>
    <col min="7671" max="7671" width="3" style="36" customWidth="1"/>
    <col min="7672" max="7672" width="20.5703125" style="36" customWidth="1"/>
    <col min="7673" max="7673" width="31.42578125" style="36" customWidth="1"/>
    <col min="7674" max="7674" width="43.85546875" style="36" bestFit="1" customWidth="1"/>
    <col min="7675" max="7676" width="17" style="36" customWidth="1"/>
    <col min="7677" max="7677" width="9.140625" style="36"/>
    <col min="7678" max="7678" width="24.28515625" style="36" customWidth="1"/>
    <col min="7679" max="7681" width="15.28515625" style="36" customWidth="1"/>
    <col min="7682" max="7926" width="9.140625" style="36"/>
    <col min="7927" max="7927" width="3" style="36" customWidth="1"/>
    <col min="7928" max="7928" width="20.5703125" style="36" customWidth="1"/>
    <col min="7929" max="7929" width="31.42578125" style="36" customWidth="1"/>
    <col min="7930" max="7930" width="43.85546875" style="36" bestFit="1" customWidth="1"/>
    <col min="7931" max="7932" width="17" style="36" customWidth="1"/>
    <col min="7933" max="7933" width="9.140625" style="36"/>
    <col min="7934" max="7934" width="24.28515625" style="36" customWidth="1"/>
    <col min="7935" max="7937" width="15.28515625" style="36" customWidth="1"/>
    <col min="7938" max="8182" width="9.140625" style="36"/>
    <col min="8183" max="8183" width="3" style="36" customWidth="1"/>
    <col min="8184" max="8184" width="20.5703125" style="36" customWidth="1"/>
    <col min="8185" max="8185" width="31.42578125" style="36" customWidth="1"/>
    <col min="8186" max="8186" width="43.85546875" style="36" bestFit="1" customWidth="1"/>
    <col min="8187" max="8188" width="17" style="36" customWidth="1"/>
    <col min="8189" max="8189" width="9.140625" style="36"/>
    <col min="8190" max="8190" width="24.28515625" style="36" customWidth="1"/>
    <col min="8191" max="8193" width="15.28515625" style="36" customWidth="1"/>
    <col min="8194" max="8438" width="9.140625" style="36"/>
    <col min="8439" max="8439" width="3" style="36" customWidth="1"/>
    <col min="8440" max="8440" width="20.5703125" style="36" customWidth="1"/>
    <col min="8441" max="8441" width="31.42578125" style="36" customWidth="1"/>
    <col min="8442" max="8442" width="43.85546875" style="36" bestFit="1" customWidth="1"/>
    <col min="8443" max="8444" width="17" style="36" customWidth="1"/>
    <col min="8445" max="8445" width="9.140625" style="36"/>
    <col min="8446" max="8446" width="24.28515625" style="36" customWidth="1"/>
    <col min="8447" max="8449" width="15.28515625" style="36" customWidth="1"/>
    <col min="8450" max="8694" width="9.140625" style="36"/>
    <col min="8695" max="8695" width="3" style="36" customWidth="1"/>
    <col min="8696" max="8696" width="20.5703125" style="36" customWidth="1"/>
    <col min="8697" max="8697" width="31.42578125" style="36" customWidth="1"/>
    <col min="8698" max="8698" width="43.85546875" style="36" bestFit="1" customWidth="1"/>
    <col min="8699" max="8700" width="17" style="36" customWidth="1"/>
    <col min="8701" max="8701" width="9.140625" style="36"/>
    <col min="8702" max="8702" width="24.28515625" style="36" customWidth="1"/>
    <col min="8703" max="8705" width="15.28515625" style="36" customWidth="1"/>
    <col min="8706" max="8950" width="9.140625" style="36"/>
    <col min="8951" max="8951" width="3" style="36" customWidth="1"/>
    <col min="8952" max="8952" width="20.5703125" style="36" customWidth="1"/>
    <col min="8953" max="8953" width="31.42578125" style="36" customWidth="1"/>
    <col min="8954" max="8954" width="43.85546875" style="36" bestFit="1" customWidth="1"/>
    <col min="8955" max="8956" width="17" style="36" customWidth="1"/>
    <col min="8957" max="8957" width="9.140625" style="36"/>
    <col min="8958" max="8958" width="24.28515625" style="36" customWidth="1"/>
    <col min="8959" max="8961" width="15.28515625" style="36" customWidth="1"/>
    <col min="8962" max="9206" width="9.140625" style="36"/>
    <col min="9207" max="9207" width="3" style="36" customWidth="1"/>
    <col min="9208" max="9208" width="20.5703125" style="36" customWidth="1"/>
    <col min="9209" max="9209" width="31.42578125" style="36" customWidth="1"/>
    <col min="9210" max="9210" width="43.85546875" style="36" bestFit="1" customWidth="1"/>
    <col min="9211" max="9212" width="17" style="36" customWidth="1"/>
    <col min="9213" max="9213" width="9.140625" style="36"/>
    <col min="9214" max="9214" width="24.28515625" style="36" customWidth="1"/>
    <col min="9215" max="9217" width="15.28515625" style="36" customWidth="1"/>
    <col min="9218" max="9462" width="9.140625" style="36"/>
    <col min="9463" max="9463" width="3" style="36" customWidth="1"/>
    <col min="9464" max="9464" width="20.5703125" style="36" customWidth="1"/>
    <col min="9465" max="9465" width="31.42578125" style="36" customWidth="1"/>
    <col min="9466" max="9466" width="43.85546875" style="36" bestFit="1" customWidth="1"/>
    <col min="9467" max="9468" width="17" style="36" customWidth="1"/>
    <col min="9469" max="9469" width="9.140625" style="36"/>
    <col min="9470" max="9470" width="24.28515625" style="36" customWidth="1"/>
    <col min="9471" max="9473" width="15.28515625" style="36" customWidth="1"/>
    <col min="9474" max="9718" width="9.140625" style="36"/>
    <col min="9719" max="9719" width="3" style="36" customWidth="1"/>
    <col min="9720" max="9720" width="20.5703125" style="36" customWidth="1"/>
    <col min="9721" max="9721" width="31.42578125" style="36" customWidth="1"/>
    <col min="9722" max="9722" width="43.85546875" style="36" bestFit="1" customWidth="1"/>
    <col min="9723" max="9724" width="17" style="36" customWidth="1"/>
    <col min="9725" max="9725" width="9.140625" style="36"/>
    <col min="9726" max="9726" width="24.28515625" style="36" customWidth="1"/>
    <col min="9727" max="9729" width="15.28515625" style="36" customWidth="1"/>
    <col min="9730" max="9974" width="9.140625" style="36"/>
    <col min="9975" max="9975" width="3" style="36" customWidth="1"/>
    <col min="9976" max="9976" width="20.5703125" style="36" customWidth="1"/>
    <col min="9977" max="9977" width="31.42578125" style="36" customWidth="1"/>
    <col min="9978" max="9978" width="43.85546875" style="36" bestFit="1" customWidth="1"/>
    <col min="9979" max="9980" width="17" style="36" customWidth="1"/>
    <col min="9981" max="9981" width="9.140625" style="36"/>
    <col min="9982" max="9982" width="24.28515625" style="36" customWidth="1"/>
    <col min="9983" max="9985" width="15.28515625" style="36" customWidth="1"/>
    <col min="9986" max="10230" width="9.140625" style="36"/>
    <col min="10231" max="10231" width="3" style="36" customWidth="1"/>
    <col min="10232" max="10232" width="20.5703125" style="36" customWidth="1"/>
    <col min="10233" max="10233" width="31.42578125" style="36" customWidth="1"/>
    <col min="10234" max="10234" width="43.85546875" style="36" bestFit="1" customWidth="1"/>
    <col min="10235" max="10236" width="17" style="36" customWidth="1"/>
    <col min="10237" max="10237" width="9.140625" style="36"/>
    <col min="10238" max="10238" width="24.28515625" style="36" customWidth="1"/>
    <col min="10239" max="10241" width="15.28515625" style="36" customWidth="1"/>
    <col min="10242" max="10486" width="9.140625" style="36"/>
    <col min="10487" max="10487" width="3" style="36" customWidth="1"/>
    <col min="10488" max="10488" width="20.5703125" style="36" customWidth="1"/>
    <col min="10489" max="10489" width="31.42578125" style="36" customWidth="1"/>
    <col min="10490" max="10490" width="43.85546875" style="36" bestFit="1" customWidth="1"/>
    <col min="10491" max="10492" width="17" style="36" customWidth="1"/>
    <col min="10493" max="10493" width="9.140625" style="36"/>
    <col min="10494" max="10494" width="24.28515625" style="36" customWidth="1"/>
    <col min="10495" max="10497" width="15.28515625" style="36" customWidth="1"/>
    <col min="10498" max="10742" width="9.140625" style="36"/>
    <col min="10743" max="10743" width="3" style="36" customWidth="1"/>
    <col min="10744" max="10744" width="20.5703125" style="36" customWidth="1"/>
    <col min="10745" max="10745" width="31.42578125" style="36" customWidth="1"/>
    <col min="10746" max="10746" width="43.85546875" style="36" bestFit="1" customWidth="1"/>
    <col min="10747" max="10748" width="17" style="36" customWidth="1"/>
    <col min="10749" max="10749" width="9.140625" style="36"/>
    <col min="10750" max="10750" width="24.28515625" style="36" customWidth="1"/>
    <col min="10751" max="10753" width="15.28515625" style="36" customWidth="1"/>
    <col min="10754" max="10998" width="9.140625" style="36"/>
    <col min="10999" max="10999" width="3" style="36" customWidth="1"/>
    <col min="11000" max="11000" width="20.5703125" style="36" customWidth="1"/>
    <col min="11001" max="11001" width="31.42578125" style="36" customWidth="1"/>
    <col min="11002" max="11002" width="43.85546875" style="36" bestFit="1" customWidth="1"/>
    <col min="11003" max="11004" width="17" style="36" customWidth="1"/>
    <col min="11005" max="11005" width="9.140625" style="36"/>
    <col min="11006" max="11006" width="24.28515625" style="36" customWidth="1"/>
    <col min="11007" max="11009" width="15.28515625" style="36" customWidth="1"/>
    <col min="11010" max="11254" width="9.140625" style="36"/>
    <col min="11255" max="11255" width="3" style="36" customWidth="1"/>
    <col min="11256" max="11256" width="20.5703125" style="36" customWidth="1"/>
    <col min="11257" max="11257" width="31.42578125" style="36" customWidth="1"/>
    <col min="11258" max="11258" width="43.85546875" style="36" bestFit="1" customWidth="1"/>
    <col min="11259" max="11260" width="17" style="36" customWidth="1"/>
    <col min="11261" max="11261" width="9.140625" style="36"/>
    <col min="11262" max="11262" width="24.28515625" style="36" customWidth="1"/>
    <col min="11263" max="11265" width="15.28515625" style="36" customWidth="1"/>
    <col min="11266" max="11510" width="9.140625" style="36"/>
    <col min="11511" max="11511" width="3" style="36" customWidth="1"/>
    <col min="11512" max="11512" width="20.5703125" style="36" customWidth="1"/>
    <col min="11513" max="11513" width="31.42578125" style="36" customWidth="1"/>
    <col min="11514" max="11514" width="43.85546875" style="36" bestFit="1" customWidth="1"/>
    <col min="11515" max="11516" width="17" style="36" customWidth="1"/>
    <col min="11517" max="11517" width="9.140625" style="36"/>
    <col min="11518" max="11518" width="24.28515625" style="36" customWidth="1"/>
    <col min="11519" max="11521" width="15.28515625" style="36" customWidth="1"/>
    <col min="11522" max="11766" width="9.140625" style="36"/>
    <col min="11767" max="11767" width="3" style="36" customWidth="1"/>
    <col min="11768" max="11768" width="20.5703125" style="36" customWidth="1"/>
    <col min="11769" max="11769" width="31.42578125" style="36" customWidth="1"/>
    <col min="11770" max="11770" width="43.85546875" style="36" bestFit="1" customWidth="1"/>
    <col min="11771" max="11772" width="17" style="36" customWidth="1"/>
    <col min="11773" max="11773" width="9.140625" style="36"/>
    <col min="11774" max="11774" width="24.28515625" style="36" customWidth="1"/>
    <col min="11775" max="11777" width="15.28515625" style="36" customWidth="1"/>
    <col min="11778" max="12022" width="9.140625" style="36"/>
    <col min="12023" max="12023" width="3" style="36" customWidth="1"/>
    <col min="12024" max="12024" width="20.5703125" style="36" customWidth="1"/>
    <col min="12025" max="12025" width="31.42578125" style="36" customWidth="1"/>
    <col min="12026" max="12026" width="43.85546875" style="36" bestFit="1" customWidth="1"/>
    <col min="12027" max="12028" width="17" style="36" customWidth="1"/>
    <col min="12029" max="12029" width="9.140625" style="36"/>
    <col min="12030" max="12030" width="24.28515625" style="36" customWidth="1"/>
    <col min="12031" max="12033" width="15.28515625" style="36" customWidth="1"/>
    <col min="12034" max="12278" width="9.140625" style="36"/>
    <col min="12279" max="12279" width="3" style="36" customWidth="1"/>
    <col min="12280" max="12280" width="20.5703125" style="36" customWidth="1"/>
    <col min="12281" max="12281" width="31.42578125" style="36" customWidth="1"/>
    <col min="12282" max="12282" width="43.85546875" style="36" bestFit="1" customWidth="1"/>
    <col min="12283" max="12284" width="17" style="36" customWidth="1"/>
    <col min="12285" max="12285" width="9.140625" style="36"/>
    <col min="12286" max="12286" width="24.28515625" style="36" customWidth="1"/>
    <col min="12287" max="12289" width="15.28515625" style="36" customWidth="1"/>
    <col min="12290" max="12534" width="9.140625" style="36"/>
    <col min="12535" max="12535" width="3" style="36" customWidth="1"/>
    <col min="12536" max="12536" width="20.5703125" style="36" customWidth="1"/>
    <col min="12537" max="12537" width="31.42578125" style="36" customWidth="1"/>
    <col min="12538" max="12538" width="43.85546875" style="36" bestFit="1" customWidth="1"/>
    <col min="12539" max="12540" width="17" style="36" customWidth="1"/>
    <col min="12541" max="12541" width="9.140625" style="36"/>
    <col min="12542" max="12542" width="24.28515625" style="36" customWidth="1"/>
    <col min="12543" max="12545" width="15.28515625" style="36" customWidth="1"/>
    <col min="12546" max="12790" width="9.140625" style="36"/>
    <col min="12791" max="12791" width="3" style="36" customWidth="1"/>
    <col min="12792" max="12792" width="20.5703125" style="36" customWidth="1"/>
    <col min="12793" max="12793" width="31.42578125" style="36" customWidth="1"/>
    <col min="12794" max="12794" width="43.85546875" style="36" bestFit="1" customWidth="1"/>
    <col min="12795" max="12796" width="17" style="36" customWidth="1"/>
    <col min="12797" max="12797" width="9.140625" style="36"/>
    <col min="12798" max="12798" width="24.28515625" style="36" customWidth="1"/>
    <col min="12799" max="12801" width="15.28515625" style="36" customWidth="1"/>
    <col min="12802" max="13046" width="9.140625" style="36"/>
    <col min="13047" max="13047" width="3" style="36" customWidth="1"/>
    <col min="13048" max="13048" width="20.5703125" style="36" customWidth="1"/>
    <col min="13049" max="13049" width="31.42578125" style="36" customWidth="1"/>
    <col min="13050" max="13050" width="43.85546875" style="36" bestFit="1" customWidth="1"/>
    <col min="13051" max="13052" width="17" style="36" customWidth="1"/>
    <col min="13053" max="13053" width="9.140625" style="36"/>
    <col min="13054" max="13054" width="24.28515625" style="36" customWidth="1"/>
    <col min="13055" max="13057" width="15.28515625" style="36" customWidth="1"/>
    <col min="13058" max="13302" width="9.140625" style="36"/>
    <col min="13303" max="13303" width="3" style="36" customWidth="1"/>
    <col min="13304" max="13304" width="20.5703125" style="36" customWidth="1"/>
    <col min="13305" max="13305" width="31.42578125" style="36" customWidth="1"/>
    <col min="13306" max="13306" width="43.85546875" style="36" bestFit="1" customWidth="1"/>
    <col min="13307" max="13308" width="17" style="36" customWidth="1"/>
    <col min="13309" max="13309" width="9.140625" style="36"/>
    <col min="13310" max="13310" width="24.28515625" style="36" customWidth="1"/>
    <col min="13311" max="13313" width="15.28515625" style="36" customWidth="1"/>
    <col min="13314" max="13558" width="9.140625" style="36"/>
    <col min="13559" max="13559" width="3" style="36" customWidth="1"/>
    <col min="13560" max="13560" width="20.5703125" style="36" customWidth="1"/>
    <col min="13561" max="13561" width="31.42578125" style="36" customWidth="1"/>
    <col min="13562" max="13562" width="43.85546875" style="36" bestFit="1" customWidth="1"/>
    <col min="13563" max="13564" width="17" style="36" customWidth="1"/>
    <col min="13565" max="13565" width="9.140625" style="36"/>
    <col min="13566" max="13566" width="24.28515625" style="36" customWidth="1"/>
    <col min="13567" max="13569" width="15.28515625" style="36" customWidth="1"/>
    <col min="13570" max="13814" width="9.140625" style="36"/>
    <col min="13815" max="13815" width="3" style="36" customWidth="1"/>
    <col min="13816" max="13816" width="20.5703125" style="36" customWidth="1"/>
    <col min="13817" max="13817" width="31.42578125" style="36" customWidth="1"/>
    <col min="13818" max="13818" width="43.85546875" style="36" bestFit="1" customWidth="1"/>
    <col min="13819" max="13820" width="17" style="36" customWidth="1"/>
    <col min="13821" max="13821" width="9.140625" style="36"/>
    <col min="13822" max="13822" width="24.28515625" style="36" customWidth="1"/>
    <col min="13823" max="13825" width="15.28515625" style="36" customWidth="1"/>
    <col min="13826" max="14070" width="9.140625" style="36"/>
    <col min="14071" max="14071" width="3" style="36" customWidth="1"/>
    <col min="14072" max="14072" width="20.5703125" style="36" customWidth="1"/>
    <col min="14073" max="14073" width="31.42578125" style="36" customWidth="1"/>
    <col min="14074" max="14074" width="43.85546875" style="36" bestFit="1" customWidth="1"/>
    <col min="14075" max="14076" width="17" style="36" customWidth="1"/>
    <col min="14077" max="14077" width="9.140625" style="36"/>
    <col min="14078" max="14078" width="24.28515625" style="36" customWidth="1"/>
    <col min="14079" max="14081" width="15.28515625" style="36" customWidth="1"/>
    <col min="14082" max="14326" width="9.140625" style="36"/>
    <col min="14327" max="14327" width="3" style="36" customWidth="1"/>
    <col min="14328" max="14328" width="20.5703125" style="36" customWidth="1"/>
    <col min="14329" max="14329" width="31.42578125" style="36" customWidth="1"/>
    <col min="14330" max="14330" width="43.85546875" style="36" bestFit="1" customWidth="1"/>
    <col min="14331" max="14332" width="17" style="36" customWidth="1"/>
    <col min="14333" max="14333" width="9.140625" style="36"/>
    <col min="14334" max="14334" width="24.28515625" style="36" customWidth="1"/>
    <col min="14335" max="14337" width="15.28515625" style="36" customWidth="1"/>
    <col min="14338" max="14582" width="9.140625" style="36"/>
    <col min="14583" max="14583" width="3" style="36" customWidth="1"/>
    <col min="14584" max="14584" width="20.5703125" style="36" customWidth="1"/>
    <col min="14585" max="14585" width="31.42578125" style="36" customWidth="1"/>
    <col min="14586" max="14586" width="43.85546875" style="36" bestFit="1" customWidth="1"/>
    <col min="14587" max="14588" width="17" style="36" customWidth="1"/>
    <col min="14589" max="14589" width="9.140625" style="36"/>
    <col min="14590" max="14590" width="24.28515625" style="36" customWidth="1"/>
    <col min="14591" max="14593" width="15.28515625" style="36" customWidth="1"/>
    <col min="14594" max="14838" width="9.140625" style="36"/>
    <col min="14839" max="14839" width="3" style="36" customWidth="1"/>
    <col min="14840" max="14840" width="20.5703125" style="36" customWidth="1"/>
    <col min="14841" max="14841" width="31.42578125" style="36" customWidth="1"/>
    <col min="14842" max="14842" width="43.85546875" style="36" bestFit="1" customWidth="1"/>
    <col min="14843" max="14844" width="17" style="36" customWidth="1"/>
    <col min="14845" max="14845" width="9.140625" style="36"/>
    <col min="14846" max="14846" width="24.28515625" style="36" customWidth="1"/>
    <col min="14847" max="14849" width="15.28515625" style="36" customWidth="1"/>
    <col min="14850" max="15094" width="9.140625" style="36"/>
    <col min="15095" max="15095" width="3" style="36" customWidth="1"/>
    <col min="15096" max="15096" width="20.5703125" style="36" customWidth="1"/>
    <col min="15097" max="15097" width="31.42578125" style="36" customWidth="1"/>
    <col min="15098" max="15098" width="43.85546875" style="36" bestFit="1" customWidth="1"/>
    <col min="15099" max="15100" width="17" style="36" customWidth="1"/>
    <col min="15101" max="15101" width="9.140625" style="36"/>
    <col min="15102" max="15102" width="24.28515625" style="36" customWidth="1"/>
    <col min="15103" max="15105" width="15.28515625" style="36" customWidth="1"/>
    <col min="15106" max="15350" width="9.140625" style="36"/>
    <col min="15351" max="15351" width="3" style="36" customWidth="1"/>
    <col min="15352" max="15352" width="20.5703125" style="36" customWidth="1"/>
    <col min="15353" max="15353" width="31.42578125" style="36" customWidth="1"/>
    <col min="15354" max="15354" width="43.85546875" style="36" bestFit="1" customWidth="1"/>
    <col min="15355" max="15356" width="17" style="36" customWidth="1"/>
    <col min="15357" max="15357" width="9.140625" style="36"/>
    <col min="15358" max="15358" width="24.28515625" style="36" customWidth="1"/>
    <col min="15359" max="15361" width="15.28515625" style="36" customWidth="1"/>
    <col min="15362" max="15606" width="9.140625" style="36"/>
    <col min="15607" max="15607" width="3" style="36" customWidth="1"/>
    <col min="15608" max="15608" width="20.5703125" style="36" customWidth="1"/>
    <col min="15609" max="15609" width="31.42578125" style="36" customWidth="1"/>
    <col min="15610" max="15610" width="43.85546875" style="36" bestFit="1" customWidth="1"/>
    <col min="15611" max="15612" width="17" style="36" customWidth="1"/>
    <col min="15613" max="15613" width="9.140625" style="36"/>
    <col min="15614" max="15614" width="24.28515625" style="36" customWidth="1"/>
    <col min="15615" max="15617" width="15.28515625" style="36" customWidth="1"/>
    <col min="15618" max="15862" width="9.140625" style="36"/>
    <col min="15863" max="15863" width="3" style="36" customWidth="1"/>
    <col min="15864" max="15864" width="20.5703125" style="36" customWidth="1"/>
    <col min="15865" max="15865" width="31.42578125" style="36" customWidth="1"/>
    <col min="15866" max="15866" width="43.85546875" style="36" bestFit="1" customWidth="1"/>
    <col min="15867" max="15868" width="17" style="36" customWidth="1"/>
    <col min="15869" max="15869" width="9.140625" style="36"/>
    <col min="15870" max="15870" width="24.28515625" style="36" customWidth="1"/>
    <col min="15871" max="15873" width="15.28515625" style="36" customWidth="1"/>
    <col min="15874" max="16118" width="9.140625" style="36"/>
    <col min="16119" max="16119" width="3" style="36" customWidth="1"/>
    <col min="16120" max="16120" width="20.5703125" style="36" customWidth="1"/>
    <col min="16121" max="16121" width="31.42578125" style="36" customWidth="1"/>
    <col min="16122" max="16122" width="43.85546875" style="36" bestFit="1" customWidth="1"/>
    <col min="16123" max="16124" width="17" style="36" customWidth="1"/>
    <col min="16125" max="16125" width="9.140625" style="36"/>
    <col min="16126" max="16126" width="24.28515625" style="36" customWidth="1"/>
    <col min="16127" max="16129" width="15.28515625" style="36" customWidth="1"/>
    <col min="16130" max="16384" width="9.140625" style="36"/>
  </cols>
  <sheetData>
    <row r="1" spans="2:9">
      <c r="B1" s="122" t="s">
        <v>158</v>
      </c>
      <c r="C1" s="122"/>
      <c r="D1" s="122"/>
    </row>
    <row r="2" spans="2:9">
      <c r="B2" s="123" t="s">
        <v>159</v>
      </c>
      <c r="C2" s="124"/>
      <c r="D2" s="124"/>
      <c r="E2" s="125"/>
      <c r="F2" s="125"/>
      <c r="G2" s="126"/>
      <c r="H2" s="138"/>
      <c r="I2" s="138"/>
    </row>
    <row r="3" spans="2:9">
      <c r="B3" s="122"/>
      <c r="C3" s="122"/>
      <c r="D3" s="122"/>
    </row>
    <row r="4" spans="2:9">
      <c r="B4" s="122" t="s">
        <v>160</v>
      </c>
      <c r="C4" s="122"/>
      <c r="D4" s="122"/>
    </row>
    <row r="5" spans="2:9" s="105" customFormat="1">
      <c r="B5" s="110" t="s">
        <v>161</v>
      </c>
      <c r="C5" s="106"/>
      <c r="D5" s="106"/>
      <c r="E5" s="127"/>
      <c r="F5" s="112"/>
    </row>
    <row r="6" spans="2:9" s="105" customFormat="1">
      <c r="B6" s="111" t="s">
        <v>162</v>
      </c>
      <c r="C6" s="128"/>
      <c r="D6" s="128"/>
      <c r="F6" s="113"/>
    </row>
    <row r="7" spans="2:9" s="105" customFormat="1">
      <c r="B7" s="107" t="s">
        <v>163</v>
      </c>
      <c r="C7" s="128"/>
      <c r="D7" s="128"/>
      <c r="F7" s="113"/>
    </row>
    <row r="8" spans="2:9" s="105" customFormat="1">
      <c r="B8" s="108" t="s">
        <v>164</v>
      </c>
      <c r="C8" s="109"/>
      <c r="D8" s="109"/>
      <c r="E8" s="129"/>
      <c r="F8" s="114"/>
    </row>
    <row r="9" spans="2:9">
      <c r="B9" s="37" t="s">
        <v>6</v>
      </c>
      <c r="C9" s="37" t="s">
        <v>165</v>
      </c>
      <c r="D9" s="37" t="s">
        <v>296</v>
      </c>
      <c r="H9" s="105"/>
    </row>
    <row r="10" spans="2:9" ht="36">
      <c r="B10" s="40" t="s">
        <v>167</v>
      </c>
      <c r="C10" s="115">
        <v>1.25</v>
      </c>
      <c r="D10" s="211">
        <f>I17+I25</f>
        <v>4728</v>
      </c>
      <c r="H10" s="37" t="s">
        <v>166</v>
      </c>
    </row>
    <row r="11" spans="2:9" ht="21">
      <c r="B11" s="40" t="s">
        <v>290</v>
      </c>
      <c r="C11" s="205">
        <v>0.48</v>
      </c>
      <c r="D11" s="211">
        <f>I18+I26</f>
        <v>7092</v>
      </c>
      <c r="H11" s="210">
        <f>H21+H29</f>
        <v>140861.52000000002</v>
      </c>
    </row>
    <row r="12" spans="2:9" ht="18.75">
      <c r="B12" s="40" t="s">
        <v>168</v>
      </c>
      <c r="C12" s="115">
        <v>32.9</v>
      </c>
      <c r="D12" s="211">
        <f>I19+I27</f>
        <v>53</v>
      </c>
    </row>
    <row r="13" spans="2:9" ht="18.75">
      <c r="B13" s="40" t="s">
        <v>169</v>
      </c>
      <c r="C13" s="115">
        <v>24.9</v>
      </c>
      <c r="D13" s="211">
        <f>I20+I28</f>
        <v>27.333333333333336</v>
      </c>
    </row>
    <row r="14" spans="2:9">
      <c r="B14" s="122"/>
      <c r="C14" s="122"/>
      <c r="D14" s="122"/>
    </row>
    <row r="15" spans="2:9">
      <c r="B15" s="116" t="s">
        <v>170</v>
      </c>
      <c r="C15" s="122"/>
      <c r="D15" s="122"/>
    </row>
    <row r="16" spans="2:9" ht="22.5" customHeight="1">
      <c r="B16" s="37" t="s">
        <v>6</v>
      </c>
      <c r="C16" s="37" t="s">
        <v>171</v>
      </c>
      <c r="D16" s="37" t="s">
        <v>172</v>
      </c>
      <c r="E16" s="37" t="s">
        <v>165</v>
      </c>
      <c r="F16" s="37" t="s">
        <v>173</v>
      </c>
      <c r="G16" s="37" t="s">
        <v>11</v>
      </c>
      <c r="H16" s="37" t="s">
        <v>174</v>
      </c>
      <c r="I16" s="37" t="s">
        <v>295</v>
      </c>
    </row>
    <row r="17" spans="2:9" ht="36">
      <c r="B17" s="38" t="str">
        <f>B$10</f>
        <v>máscara cirúrgica, tipo não tecido,2 camadas, pregas horizontais, atóxica, características adicionais, hipoalergênica, tipo uso descartável</v>
      </c>
      <c r="C17" s="1">
        <v>4</v>
      </c>
      <c r="D17" s="41">
        <f>C17*15</f>
        <v>60</v>
      </c>
      <c r="E17" s="115">
        <f>C$10</f>
        <v>1.25</v>
      </c>
      <c r="F17" s="115">
        <f>ROUND(D17*E17,2)</f>
        <v>75</v>
      </c>
      <c r="G17" s="41">
        <f>'Custo Final'!L13-'Custo Final'!L9-'Custo Final'!L10-'Custo Final'!L11/2</f>
        <v>58</v>
      </c>
      <c r="H17" s="115">
        <f>F17*G17*12</f>
        <v>52200</v>
      </c>
      <c r="I17" s="41">
        <f>D17*G17</f>
        <v>3480</v>
      </c>
    </row>
    <row r="18" spans="2:9">
      <c r="B18" s="38" t="str">
        <f>B$11</f>
        <v>Par Luva descartável sem pó - nitrílica ou de látex</v>
      </c>
      <c r="C18" s="41">
        <v>6</v>
      </c>
      <c r="D18" s="41">
        <f>C18*15</f>
        <v>90</v>
      </c>
      <c r="E18" s="115">
        <f>C$11</f>
        <v>0.48</v>
      </c>
      <c r="F18" s="115">
        <f>ROUND(D18*E18,2)</f>
        <v>43.2</v>
      </c>
      <c r="G18" s="41">
        <f>$G$17</f>
        <v>58</v>
      </c>
      <c r="H18" s="115">
        <f t="shared" ref="H18:H20" si="0">F18*G18*12</f>
        <v>30067.200000000004</v>
      </c>
      <c r="I18" s="41">
        <f>D18*G18</f>
        <v>5220</v>
      </c>
    </row>
    <row r="19" spans="2:9">
      <c r="B19" s="38" t="str">
        <f>B$12</f>
        <v>Álcool gél 70 1kg</v>
      </c>
      <c r="C19" s="41">
        <f>1/30</f>
        <v>3.3333333333333333E-2</v>
      </c>
      <c r="D19" s="41">
        <f>C19*15</f>
        <v>0.5</v>
      </c>
      <c r="E19" s="115">
        <f>C$12</f>
        <v>32.9</v>
      </c>
      <c r="F19" s="115">
        <f>ROUND(D19*E19,2)</f>
        <v>16.45</v>
      </c>
      <c r="G19" s="41">
        <f>$G$17</f>
        <v>58</v>
      </c>
      <c r="H19" s="115">
        <f t="shared" si="0"/>
        <v>11449.199999999999</v>
      </c>
      <c r="I19" s="41">
        <f>D19*G19</f>
        <v>29</v>
      </c>
    </row>
    <row r="20" spans="2:9">
      <c r="B20" s="38" t="str">
        <f>B$13</f>
        <v xml:space="preserve">Protetor Facial (Face Shield) </v>
      </c>
      <c r="C20" s="41">
        <f>2/90</f>
        <v>2.2222222222222223E-2</v>
      </c>
      <c r="D20" s="41">
        <f>C20*15</f>
        <v>0.33333333333333337</v>
      </c>
      <c r="E20" s="115">
        <f>C$13</f>
        <v>24.9</v>
      </c>
      <c r="F20" s="115">
        <f>ROUND(D20*E20,2)</f>
        <v>8.3000000000000007</v>
      </c>
      <c r="G20" s="41">
        <f>$G$17</f>
        <v>58</v>
      </c>
      <c r="H20" s="115">
        <f t="shared" si="0"/>
        <v>5776.8</v>
      </c>
      <c r="I20" s="41">
        <f>D20*G20</f>
        <v>19.333333333333336</v>
      </c>
    </row>
    <row r="21" spans="2:9" ht="24">
      <c r="B21"/>
      <c r="C21"/>
      <c r="D21"/>
      <c r="E21" s="120" t="s">
        <v>175</v>
      </c>
      <c r="F21" s="121">
        <f>SUM(F17:F20)</f>
        <v>142.95000000000002</v>
      </c>
      <c r="G21"/>
      <c r="H21" s="121">
        <f>SUM(H17:H20)</f>
        <v>99493.200000000012</v>
      </c>
    </row>
    <row r="23" spans="2:9">
      <c r="B23" s="117" t="s">
        <v>176</v>
      </c>
    </row>
    <row r="24" spans="2:9">
      <c r="B24" s="37" t="s">
        <v>6</v>
      </c>
      <c r="C24" s="37" t="s">
        <v>171</v>
      </c>
      <c r="D24" s="37" t="s">
        <v>172</v>
      </c>
      <c r="E24" s="37" t="s">
        <v>165</v>
      </c>
      <c r="F24" s="37" t="s">
        <v>173</v>
      </c>
      <c r="G24" s="37" t="s">
        <v>11</v>
      </c>
      <c r="H24" s="37" t="s">
        <v>174</v>
      </c>
      <c r="I24" s="37" t="s">
        <v>295</v>
      </c>
    </row>
    <row r="25" spans="2:9" ht="36">
      <c r="B25" s="38" t="str">
        <f>B$10</f>
        <v>máscara cirúrgica, tipo não tecido,2 camadas, pregas horizontais, atóxica, características adicionais, hipoalergênica, tipo uso descartável</v>
      </c>
      <c r="C25" s="1">
        <v>2</v>
      </c>
      <c r="D25" s="1">
        <f>C25*26</f>
        <v>52</v>
      </c>
      <c r="E25" s="115">
        <f>C$10</f>
        <v>1.25</v>
      </c>
      <c r="F25" s="115">
        <f>ROUND(D25*E25,2)</f>
        <v>65</v>
      </c>
      <c r="G25" s="41">
        <f>'Custo Final'!L9+'Custo Final'!L10</f>
        <v>24</v>
      </c>
      <c r="H25" s="115">
        <f>F25*G25*12</f>
        <v>18720</v>
      </c>
      <c r="I25" s="41">
        <f>D25*G25</f>
        <v>1248</v>
      </c>
    </row>
    <row r="26" spans="2:9">
      <c r="B26" s="38" t="str">
        <f>B$11</f>
        <v>Par Luva descartável sem pó - nitrílica ou de látex</v>
      </c>
      <c r="C26" s="41">
        <v>3</v>
      </c>
      <c r="D26" s="1">
        <f>C26*26</f>
        <v>78</v>
      </c>
      <c r="E26" s="115">
        <f>C$11</f>
        <v>0.48</v>
      </c>
      <c r="F26" s="115">
        <f>ROUND(D26*E26,2)</f>
        <v>37.44</v>
      </c>
      <c r="G26" s="41">
        <f>$G$25</f>
        <v>24</v>
      </c>
      <c r="H26" s="115">
        <f t="shared" ref="H26:H28" si="1">F26*G26*12</f>
        <v>10782.72</v>
      </c>
      <c r="I26" s="41">
        <f>D26*G26</f>
        <v>1872</v>
      </c>
    </row>
    <row r="27" spans="2:9">
      <c r="B27" s="38" t="str">
        <f>B$12</f>
        <v>Álcool gél 70 1kg</v>
      </c>
      <c r="C27" s="41">
        <f>1/30</f>
        <v>3.3333333333333333E-2</v>
      </c>
      <c r="D27" s="1">
        <f>C27*30</f>
        <v>1</v>
      </c>
      <c r="E27" s="115">
        <f>C$12</f>
        <v>32.9</v>
      </c>
      <c r="F27" s="115">
        <f>ROUND(D27*E27,2)</f>
        <v>32.9</v>
      </c>
      <c r="G27" s="41">
        <f>$G$25</f>
        <v>24</v>
      </c>
      <c r="H27" s="115">
        <f t="shared" si="1"/>
        <v>9475.1999999999989</v>
      </c>
      <c r="I27" s="41">
        <f>D27*G27</f>
        <v>24</v>
      </c>
    </row>
    <row r="28" spans="2:9">
      <c r="B28" s="38" t="str">
        <f>B$13</f>
        <v xml:space="preserve">Protetor Facial (Face Shield) </v>
      </c>
      <c r="C28" s="41">
        <f>1/90</f>
        <v>1.1111111111111112E-2</v>
      </c>
      <c r="D28" s="1">
        <f>C28*30</f>
        <v>0.33333333333333337</v>
      </c>
      <c r="E28" s="115">
        <f>C$13</f>
        <v>24.9</v>
      </c>
      <c r="F28" s="115">
        <f>ROUND(D28*E28,2)</f>
        <v>8.3000000000000007</v>
      </c>
      <c r="G28" s="41">
        <f>$G$25</f>
        <v>24</v>
      </c>
      <c r="H28" s="115">
        <f t="shared" si="1"/>
        <v>2390.4</v>
      </c>
      <c r="I28" s="41">
        <f>D28*G28</f>
        <v>8</v>
      </c>
    </row>
    <row r="29" spans="2:9" ht="24">
      <c r="C29"/>
      <c r="D29"/>
      <c r="E29" s="118" t="s">
        <v>175</v>
      </c>
      <c r="F29" s="119">
        <f>SUM(F25:F28)</f>
        <v>143.64000000000001</v>
      </c>
      <c r="H29" s="121">
        <f>SUM(H25:H28)</f>
        <v>41368.32</v>
      </c>
    </row>
    <row r="30" spans="2:9">
      <c r="B30"/>
      <c r="C30"/>
      <c r="D30"/>
    </row>
  </sheetData>
  <printOptions horizontalCentered="1"/>
  <pageMargins left="0.51181102362204722" right="0.51181102362204722" top="1.5748031496062993" bottom="1.1811023622047245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9A80-477C-49B2-BA2A-0261FA82ED85}">
  <dimension ref="B1:G25"/>
  <sheetViews>
    <sheetView showGridLines="0" zoomScaleNormal="100" workbookViewId="0">
      <selection activeCell="C27" sqref="C27"/>
    </sheetView>
  </sheetViews>
  <sheetFormatPr defaultRowHeight="15"/>
  <cols>
    <col min="1" max="1" width="3" style="36" customWidth="1"/>
    <col min="2" max="2" width="20.5703125" style="36" customWidth="1"/>
    <col min="3" max="3" width="31.42578125" style="36" customWidth="1"/>
    <col min="4" max="4" width="43.85546875" style="36" bestFit="1" customWidth="1"/>
    <col min="5" max="6" width="17" style="36" customWidth="1"/>
    <col min="7" max="7" width="14.42578125" style="36" bestFit="1" customWidth="1"/>
    <col min="8" max="8" width="24.28515625" style="36" customWidth="1"/>
    <col min="9" max="11" width="15.28515625" style="36" customWidth="1"/>
    <col min="12" max="256" width="9.140625" style="36"/>
    <col min="257" max="257" width="3" style="36" customWidth="1"/>
    <col min="258" max="258" width="20.5703125" style="36" customWidth="1"/>
    <col min="259" max="259" width="31.42578125" style="36" customWidth="1"/>
    <col min="260" max="260" width="43.85546875" style="36" bestFit="1" customWidth="1"/>
    <col min="261" max="262" width="17" style="36" customWidth="1"/>
    <col min="263" max="263" width="9.140625" style="36"/>
    <col min="264" max="264" width="24.28515625" style="36" customWidth="1"/>
    <col min="265" max="267" width="15.28515625" style="36" customWidth="1"/>
    <col min="268" max="512" width="9.140625" style="36"/>
    <col min="513" max="513" width="3" style="36" customWidth="1"/>
    <col min="514" max="514" width="20.5703125" style="36" customWidth="1"/>
    <col min="515" max="515" width="31.42578125" style="36" customWidth="1"/>
    <col min="516" max="516" width="43.85546875" style="36" bestFit="1" customWidth="1"/>
    <col min="517" max="518" width="17" style="36" customWidth="1"/>
    <col min="519" max="519" width="9.140625" style="36"/>
    <col min="520" max="520" width="24.28515625" style="36" customWidth="1"/>
    <col min="521" max="523" width="15.28515625" style="36" customWidth="1"/>
    <col min="524" max="768" width="9.140625" style="36"/>
    <col min="769" max="769" width="3" style="36" customWidth="1"/>
    <col min="770" max="770" width="20.5703125" style="36" customWidth="1"/>
    <col min="771" max="771" width="31.42578125" style="36" customWidth="1"/>
    <col min="772" max="772" width="43.85546875" style="36" bestFit="1" customWidth="1"/>
    <col min="773" max="774" width="17" style="36" customWidth="1"/>
    <col min="775" max="775" width="9.140625" style="36"/>
    <col min="776" max="776" width="24.28515625" style="36" customWidth="1"/>
    <col min="777" max="779" width="15.28515625" style="36" customWidth="1"/>
    <col min="780" max="1024" width="9.140625" style="36"/>
    <col min="1025" max="1025" width="3" style="36" customWidth="1"/>
    <col min="1026" max="1026" width="20.5703125" style="36" customWidth="1"/>
    <col min="1027" max="1027" width="31.42578125" style="36" customWidth="1"/>
    <col min="1028" max="1028" width="43.85546875" style="36" bestFit="1" customWidth="1"/>
    <col min="1029" max="1030" width="17" style="36" customWidth="1"/>
    <col min="1031" max="1031" width="9.140625" style="36"/>
    <col min="1032" max="1032" width="24.28515625" style="36" customWidth="1"/>
    <col min="1033" max="1035" width="15.28515625" style="36" customWidth="1"/>
    <col min="1036" max="1280" width="9.140625" style="36"/>
    <col min="1281" max="1281" width="3" style="36" customWidth="1"/>
    <col min="1282" max="1282" width="20.5703125" style="36" customWidth="1"/>
    <col min="1283" max="1283" width="31.42578125" style="36" customWidth="1"/>
    <col min="1284" max="1284" width="43.85546875" style="36" bestFit="1" customWidth="1"/>
    <col min="1285" max="1286" width="17" style="36" customWidth="1"/>
    <col min="1287" max="1287" width="9.140625" style="36"/>
    <col min="1288" max="1288" width="24.28515625" style="36" customWidth="1"/>
    <col min="1289" max="1291" width="15.28515625" style="36" customWidth="1"/>
    <col min="1292" max="1536" width="9.140625" style="36"/>
    <col min="1537" max="1537" width="3" style="36" customWidth="1"/>
    <col min="1538" max="1538" width="20.5703125" style="36" customWidth="1"/>
    <col min="1539" max="1539" width="31.42578125" style="36" customWidth="1"/>
    <col min="1540" max="1540" width="43.85546875" style="36" bestFit="1" customWidth="1"/>
    <col min="1541" max="1542" width="17" style="36" customWidth="1"/>
    <col min="1543" max="1543" width="9.140625" style="36"/>
    <col min="1544" max="1544" width="24.28515625" style="36" customWidth="1"/>
    <col min="1545" max="1547" width="15.28515625" style="36" customWidth="1"/>
    <col min="1548" max="1792" width="9.140625" style="36"/>
    <col min="1793" max="1793" width="3" style="36" customWidth="1"/>
    <col min="1794" max="1794" width="20.5703125" style="36" customWidth="1"/>
    <col min="1795" max="1795" width="31.42578125" style="36" customWidth="1"/>
    <col min="1796" max="1796" width="43.85546875" style="36" bestFit="1" customWidth="1"/>
    <col min="1797" max="1798" width="17" style="36" customWidth="1"/>
    <col min="1799" max="1799" width="9.140625" style="36"/>
    <col min="1800" max="1800" width="24.28515625" style="36" customWidth="1"/>
    <col min="1801" max="1803" width="15.28515625" style="36" customWidth="1"/>
    <col min="1804" max="2048" width="9.140625" style="36"/>
    <col min="2049" max="2049" width="3" style="36" customWidth="1"/>
    <col min="2050" max="2050" width="20.5703125" style="36" customWidth="1"/>
    <col min="2051" max="2051" width="31.42578125" style="36" customWidth="1"/>
    <col min="2052" max="2052" width="43.85546875" style="36" bestFit="1" customWidth="1"/>
    <col min="2053" max="2054" width="17" style="36" customWidth="1"/>
    <col min="2055" max="2055" width="9.140625" style="36"/>
    <col min="2056" max="2056" width="24.28515625" style="36" customWidth="1"/>
    <col min="2057" max="2059" width="15.28515625" style="36" customWidth="1"/>
    <col min="2060" max="2304" width="9.140625" style="36"/>
    <col min="2305" max="2305" width="3" style="36" customWidth="1"/>
    <col min="2306" max="2306" width="20.5703125" style="36" customWidth="1"/>
    <col min="2307" max="2307" width="31.42578125" style="36" customWidth="1"/>
    <col min="2308" max="2308" width="43.85546875" style="36" bestFit="1" customWidth="1"/>
    <col min="2309" max="2310" width="17" style="36" customWidth="1"/>
    <col min="2311" max="2311" width="9.140625" style="36"/>
    <col min="2312" max="2312" width="24.28515625" style="36" customWidth="1"/>
    <col min="2313" max="2315" width="15.28515625" style="36" customWidth="1"/>
    <col min="2316" max="2560" width="9.140625" style="36"/>
    <col min="2561" max="2561" width="3" style="36" customWidth="1"/>
    <col min="2562" max="2562" width="20.5703125" style="36" customWidth="1"/>
    <col min="2563" max="2563" width="31.42578125" style="36" customWidth="1"/>
    <col min="2564" max="2564" width="43.85546875" style="36" bestFit="1" customWidth="1"/>
    <col min="2565" max="2566" width="17" style="36" customWidth="1"/>
    <col min="2567" max="2567" width="9.140625" style="36"/>
    <col min="2568" max="2568" width="24.28515625" style="36" customWidth="1"/>
    <col min="2569" max="2571" width="15.28515625" style="36" customWidth="1"/>
    <col min="2572" max="2816" width="9.140625" style="36"/>
    <col min="2817" max="2817" width="3" style="36" customWidth="1"/>
    <col min="2818" max="2818" width="20.5703125" style="36" customWidth="1"/>
    <col min="2819" max="2819" width="31.42578125" style="36" customWidth="1"/>
    <col min="2820" max="2820" width="43.85546875" style="36" bestFit="1" customWidth="1"/>
    <col min="2821" max="2822" width="17" style="36" customWidth="1"/>
    <col min="2823" max="2823" width="9.140625" style="36"/>
    <col min="2824" max="2824" width="24.28515625" style="36" customWidth="1"/>
    <col min="2825" max="2827" width="15.28515625" style="36" customWidth="1"/>
    <col min="2828" max="3072" width="9.140625" style="36"/>
    <col min="3073" max="3073" width="3" style="36" customWidth="1"/>
    <col min="3074" max="3074" width="20.5703125" style="36" customWidth="1"/>
    <col min="3075" max="3075" width="31.42578125" style="36" customWidth="1"/>
    <col min="3076" max="3076" width="43.85546875" style="36" bestFit="1" customWidth="1"/>
    <col min="3077" max="3078" width="17" style="36" customWidth="1"/>
    <col min="3079" max="3079" width="9.140625" style="36"/>
    <col min="3080" max="3080" width="24.28515625" style="36" customWidth="1"/>
    <col min="3081" max="3083" width="15.28515625" style="36" customWidth="1"/>
    <col min="3084" max="3328" width="9.140625" style="36"/>
    <col min="3329" max="3329" width="3" style="36" customWidth="1"/>
    <col min="3330" max="3330" width="20.5703125" style="36" customWidth="1"/>
    <col min="3331" max="3331" width="31.42578125" style="36" customWidth="1"/>
    <col min="3332" max="3332" width="43.85546875" style="36" bestFit="1" customWidth="1"/>
    <col min="3333" max="3334" width="17" style="36" customWidth="1"/>
    <col min="3335" max="3335" width="9.140625" style="36"/>
    <col min="3336" max="3336" width="24.28515625" style="36" customWidth="1"/>
    <col min="3337" max="3339" width="15.28515625" style="36" customWidth="1"/>
    <col min="3340" max="3584" width="9.140625" style="36"/>
    <col min="3585" max="3585" width="3" style="36" customWidth="1"/>
    <col min="3586" max="3586" width="20.5703125" style="36" customWidth="1"/>
    <col min="3587" max="3587" width="31.42578125" style="36" customWidth="1"/>
    <col min="3588" max="3588" width="43.85546875" style="36" bestFit="1" customWidth="1"/>
    <col min="3589" max="3590" width="17" style="36" customWidth="1"/>
    <col min="3591" max="3591" width="9.140625" style="36"/>
    <col min="3592" max="3592" width="24.28515625" style="36" customWidth="1"/>
    <col min="3593" max="3595" width="15.28515625" style="36" customWidth="1"/>
    <col min="3596" max="3840" width="9.140625" style="36"/>
    <col min="3841" max="3841" width="3" style="36" customWidth="1"/>
    <col min="3842" max="3842" width="20.5703125" style="36" customWidth="1"/>
    <col min="3843" max="3843" width="31.42578125" style="36" customWidth="1"/>
    <col min="3844" max="3844" width="43.85546875" style="36" bestFit="1" customWidth="1"/>
    <col min="3845" max="3846" width="17" style="36" customWidth="1"/>
    <col min="3847" max="3847" width="9.140625" style="36"/>
    <col min="3848" max="3848" width="24.28515625" style="36" customWidth="1"/>
    <col min="3849" max="3851" width="15.28515625" style="36" customWidth="1"/>
    <col min="3852" max="4096" width="9.140625" style="36"/>
    <col min="4097" max="4097" width="3" style="36" customWidth="1"/>
    <col min="4098" max="4098" width="20.5703125" style="36" customWidth="1"/>
    <col min="4099" max="4099" width="31.42578125" style="36" customWidth="1"/>
    <col min="4100" max="4100" width="43.85546875" style="36" bestFit="1" customWidth="1"/>
    <col min="4101" max="4102" width="17" style="36" customWidth="1"/>
    <col min="4103" max="4103" width="9.140625" style="36"/>
    <col min="4104" max="4104" width="24.28515625" style="36" customWidth="1"/>
    <col min="4105" max="4107" width="15.28515625" style="36" customWidth="1"/>
    <col min="4108" max="4352" width="9.140625" style="36"/>
    <col min="4353" max="4353" width="3" style="36" customWidth="1"/>
    <col min="4354" max="4354" width="20.5703125" style="36" customWidth="1"/>
    <col min="4355" max="4355" width="31.42578125" style="36" customWidth="1"/>
    <col min="4356" max="4356" width="43.85546875" style="36" bestFit="1" customWidth="1"/>
    <col min="4357" max="4358" width="17" style="36" customWidth="1"/>
    <col min="4359" max="4359" width="9.140625" style="36"/>
    <col min="4360" max="4360" width="24.28515625" style="36" customWidth="1"/>
    <col min="4361" max="4363" width="15.28515625" style="36" customWidth="1"/>
    <col min="4364" max="4608" width="9.140625" style="36"/>
    <col min="4609" max="4609" width="3" style="36" customWidth="1"/>
    <col min="4610" max="4610" width="20.5703125" style="36" customWidth="1"/>
    <col min="4611" max="4611" width="31.42578125" style="36" customWidth="1"/>
    <col min="4612" max="4612" width="43.85546875" style="36" bestFit="1" customWidth="1"/>
    <col min="4613" max="4614" width="17" style="36" customWidth="1"/>
    <col min="4615" max="4615" width="9.140625" style="36"/>
    <col min="4616" max="4616" width="24.28515625" style="36" customWidth="1"/>
    <col min="4617" max="4619" width="15.28515625" style="36" customWidth="1"/>
    <col min="4620" max="4864" width="9.140625" style="36"/>
    <col min="4865" max="4865" width="3" style="36" customWidth="1"/>
    <col min="4866" max="4866" width="20.5703125" style="36" customWidth="1"/>
    <col min="4867" max="4867" width="31.42578125" style="36" customWidth="1"/>
    <col min="4868" max="4868" width="43.85546875" style="36" bestFit="1" customWidth="1"/>
    <col min="4869" max="4870" width="17" style="36" customWidth="1"/>
    <col min="4871" max="4871" width="9.140625" style="36"/>
    <col min="4872" max="4872" width="24.28515625" style="36" customWidth="1"/>
    <col min="4873" max="4875" width="15.28515625" style="36" customWidth="1"/>
    <col min="4876" max="5120" width="9.140625" style="36"/>
    <col min="5121" max="5121" width="3" style="36" customWidth="1"/>
    <col min="5122" max="5122" width="20.5703125" style="36" customWidth="1"/>
    <col min="5123" max="5123" width="31.42578125" style="36" customWidth="1"/>
    <col min="5124" max="5124" width="43.85546875" style="36" bestFit="1" customWidth="1"/>
    <col min="5125" max="5126" width="17" style="36" customWidth="1"/>
    <col min="5127" max="5127" width="9.140625" style="36"/>
    <col min="5128" max="5128" width="24.28515625" style="36" customWidth="1"/>
    <col min="5129" max="5131" width="15.28515625" style="36" customWidth="1"/>
    <col min="5132" max="5376" width="9.140625" style="36"/>
    <col min="5377" max="5377" width="3" style="36" customWidth="1"/>
    <col min="5378" max="5378" width="20.5703125" style="36" customWidth="1"/>
    <col min="5379" max="5379" width="31.42578125" style="36" customWidth="1"/>
    <col min="5380" max="5380" width="43.85546875" style="36" bestFit="1" customWidth="1"/>
    <col min="5381" max="5382" width="17" style="36" customWidth="1"/>
    <col min="5383" max="5383" width="9.140625" style="36"/>
    <col min="5384" max="5384" width="24.28515625" style="36" customWidth="1"/>
    <col min="5385" max="5387" width="15.28515625" style="36" customWidth="1"/>
    <col min="5388" max="5632" width="9.140625" style="36"/>
    <col min="5633" max="5633" width="3" style="36" customWidth="1"/>
    <col min="5634" max="5634" width="20.5703125" style="36" customWidth="1"/>
    <col min="5635" max="5635" width="31.42578125" style="36" customWidth="1"/>
    <col min="5636" max="5636" width="43.85546875" style="36" bestFit="1" customWidth="1"/>
    <col min="5637" max="5638" width="17" style="36" customWidth="1"/>
    <col min="5639" max="5639" width="9.140625" style="36"/>
    <col min="5640" max="5640" width="24.28515625" style="36" customWidth="1"/>
    <col min="5641" max="5643" width="15.28515625" style="36" customWidth="1"/>
    <col min="5644" max="5888" width="9.140625" style="36"/>
    <col min="5889" max="5889" width="3" style="36" customWidth="1"/>
    <col min="5890" max="5890" width="20.5703125" style="36" customWidth="1"/>
    <col min="5891" max="5891" width="31.42578125" style="36" customWidth="1"/>
    <col min="5892" max="5892" width="43.85546875" style="36" bestFit="1" customWidth="1"/>
    <col min="5893" max="5894" width="17" style="36" customWidth="1"/>
    <col min="5895" max="5895" width="9.140625" style="36"/>
    <col min="5896" max="5896" width="24.28515625" style="36" customWidth="1"/>
    <col min="5897" max="5899" width="15.28515625" style="36" customWidth="1"/>
    <col min="5900" max="6144" width="9.140625" style="36"/>
    <col min="6145" max="6145" width="3" style="36" customWidth="1"/>
    <col min="6146" max="6146" width="20.5703125" style="36" customWidth="1"/>
    <col min="6147" max="6147" width="31.42578125" style="36" customWidth="1"/>
    <col min="6148" max="6148" width="43.85546875" style="36" bestFit="1" customWidth="1"/>
    <col min="6149" max="6150" width="17" style="36" customWidth="1"/>
    <col min="6151" max="6151" width="9.140625" style="36"/>
    <col min="6152" max="6152" width="24.28515625" style="36" customWidth="1"/>
    <col min="6153" max="6155" width="15.28515625" style="36" customWidth="1"/>
    <col min="6156" max="6400" width="9.140625" style="36"/>
    <col min="6401" max="6401" width="3" style="36" customWidth="1"/>
    <col min="6402" max="6402" width="20.5703125" style="36" customWidth="1"/>
    <col min="6403" max="6403" width="31.42578125" style="36" customWidth="1"/>
    <col min="6404" max="6404" width="43.85546875" style="36" bestFit="1" customWidth="1"/>
    <col min="6405" max="6406" width="17" style="36" customWidth="1"/>
    <col min="6407" max="6407" width="9.140625" style="36"/>
    <col min="6408" max="6408" width="24.28515625" style="36" customWidth="1"/>
    <col min="6409" max="6411" width="15.28515625" style="36" customWidth="1"/>
    <col min="6412" max="6656" width="9.140625" style="36"/>
    <col min="6657" max="6657" width="3" style="36" customWidth="1"/>
    <col min="6658" max="6658" width="20.5703125" style="36" customWidth="1"/>
    <col min="6659" max="6659" width="31.42578125" style="36" customWidth="1"/>
    <col min="6660" max="6660" width="43.85546875" style="36" bestFit="1" customWidth="1"/>
    <col min="6661" max="6662" width="17" style="36" customWidth="1"/>
    <col min="6663" max="6663" width="9.140625" style="36"/>
    <col min="6664" max="6664" width="24.28515625" style="36" customWidth="1"/>
    <col min="6665" max="6667" width="15.28515625" style="36" customWidth="1"/>
    <col min="6668" max="6912" width="9.140625" style="36"/>
    <col min="6913" max="6913" width="3" style="36" customWidth="1"/>
    <col min="6914" max="6914" width="20.5703125" style="36" customWidth="1"/>
    <col min="6915" max="6915" width="31.42578125" style="36" customWidth="1"/>
    <col min="6916" max="6916" width="43.85546875" style="36" bestFit="1" customWidth="1"/>
    <col min="6917" max="6918" width="17" style="36" customWidth="1"/>
    <col min="6919" max="6919" width="9.140625" style="36"/>
    <col min="6920" max="6920" width="24.28515625" style="36" customWidth="1"/>
    <col min="6921" max="6923" width="15.28515625" style="36" customWidth="1"/>
    <col min="6924" max="7168" width="9.140625" style="36"/>
    <col min="7169" max="7169" width="3" style="36" customWidth="1"/>
    <col min="7170" max="7170" width="20.5703125" style="36" customWidth="1"/>
    <col min="7171" max="7171" width="31.42578125" style="36" customWidth="1"/>
    <col min="7172" max="7172" width="43.85546875" style="36" bestFit="1" customWidth="1"/>
    <col min="7173" max="7174" width="17" style="36" customWidth="1"/>
    <col min="7175" max="7175" width="9.140625" style="36"/>
    <col min="7176" max="7176" width="24.28515625" style="36" customWidth="1"/>
    <col min="7177" max="7179" width="15.28515625" style="36" customWidth="1"/>
    <col min="7180" max="7424" width="9.140625" style="36"/>
    <col min="7425" max="7425" width="3" style="36" customWidth="1"/>
    <col min="7426" max="7426" width="20.5703125" style="36" customWidth="1"/>
    <col min="7427" max="7427" width="31.42578125" style="36" customWidth="1"/>
    <col min="7428" max="7428" width="43.85546875" style="36" bestFit="1" customWidth="1"/>
    <col min="7429" max="7430" width="17" style="36" customWidth="1"/>
    <col min="7431" max="7431" width="9.140625" style="36"/>
    <col min="7432" max="7432" width="24.28515625" style="36" customWidth="1"/>
    <col min="7433" max="7435" width="15.28515625" style="36" customWidth="1"/>
    <col min="7436" max="7680" width="9.140625" style="36"/>
    <col min="7681" max="7681" width="3" style="36" customWidth="1"/>
    <col min="7682" max="7682" width="20.5703125" style="36" customWidth="1"/>
    <col min="7683" max="7683" width="31.42578125" style="36" customWidth="1"/>
    <col min="7684" max="7684" width="43.85546875" style="36" bestFit="1" customWidth="1"/>
    <col min="7685" max="7686" width="17" style="36" customWidth="1"/>
    <col min="7687" max="7687" width="9.140625" style="36"/>
    <col min="7688" max="7688" width="24.28515625" style="36" customWidth="1"/>
    <col min="7689" max="7691" width="15.28515625" style="36" customWidth="1"/>
    <col min="7692" max="7936" width="9.140625" style="36"/>
    <col min="7937" max="7937" width="3" style="36" customWidth="1"/>
    <col min="7938" max="7938" width="20.5703125" style="36" customWidth="1"/>
    <col min="7939" max="7939" width="31.42578125" style="36" customWidth="1"/>
    <col min="7940" max="7940" width="43.85546875" style="36" bestFit="1" customWidth="1"/>
    <col min="7941" max="7942" width="17" style="36" customWidth="1"/>
    <col min="7943" max="7943" width="9.140625" style="36"/>
    <col min="7944" max="7944" width="24.28515625" style="36" customWidth="1"/>
    <col min="7945" max="7947" width="15.28515625" style="36" customWidth="1"/>
    <col min="7948" max="8192" width="9.140625" style="36"/>
    <col min="8193" max="8193" width="3" style="36" customWidth="1"/>
    <col min="8194" max="8194" width="20.5703125" style="36" customWidth="1"/>
    <col min="8195" max="8195" width="31.42578125" style="36" customWidth="1"/>
    <col min="8196" max="8196" width="43.85546875" style="36" bestFit="1" customWidth="1"/>
    <col min="8197" max="8198" width="17" style="36" customWidth="1"/>
    <col min="8199" max="8199" width="9.140625" style="36"/>
    <col min="8200" max="8200" width="24.28515625" style="36" customWidth="1"/>
    <col min="8201" max="8203" width="15.28515625" style="36" customWidth="1"/>
    <col min="8204" max="8448" width="9.140625" style="36"/>
    <col min="8449" max="8449" width="3" style="36" customWidth="1"/>
    <col min="8450" max="8450" width="20.5703125" style="36" customWidth="1"/>
    <col min="8451" max="8451" width="31.42578125" style="36" customWidth="1"/>
    <col min="8452" max="8452" width="43.85546875" style="36" bestFit="1" customWidth="1"/>
    <col min="8453" max="8454" width="17" style="36" customWidth="1"/>
    <col min="8455" max="8455" width="9.140625" style="36"/>
    <col min="8456" max="8456" width="24.28515625" style="36" customWidth="1"/>
    <col min="8457" max="8459" width="15.28515625" style="36" customWidth="1"/>
    <col min="8460" max="8704" width="9.140625" style="36"/>
    <col min="8705" max="8705" width="3" style="36" customWidth="1"/>
    <col min="8706" max="8706" width="20.5703125" style="36" customWidth="1"/>
    <col min="8707" max="8707" width="31.42578125" style="36" customWidth="1"/>
    <col min="8708" max="8708" width="43.85546875" style="36" bestFit="1" customWidth="1"/>
    <col min="8709" max="8710" width="17" style="36" customWidth="1"/>
    <col min="8711" max="8711" width="9.140625" style="36"/>
    <col min="8712" max="8712" width="24.28515625" style="36" customWidth="1"/>
    <col min="8713" max="8715" width="15.28515625" style="36" customWidth="1"/>
    <col min="8716" max="8960" width="9.140625" style="36"/>
    <col min="8961" max="8961" width="3" style="36" customWidth="1"/>
    <col min="8962" max="8962" width="20.5703125" style="36" customWidth="1"/>
    <col min="8963" max="8963" width="31.42578125" style="36" customWidth="1"/>
    <col min="8964" max="8964" width="43.85546875" style="36" bestFit="1" customWidth="1"/>
    <col min="8965" max="8966" width="17" style="36" customWidth="1"/>
    <col min="8967" max="8967" width="9.140625" style="36"/>
    <col min="8968" max="8968" width="24.28515625" style="36" customWidth="1"/>
    <col min="8969" max="8971" width="15.28515625" style="36" customWidth="1"/>
    <col min="8972" max="9216" width="9.140625" style="36"/>
    <col min="9217" max="9217" width="3" style="36" customWidth="1"/>
    <col min="9218" max="9218" width="20.5703125" style="36" customWidth="1"/>
    <col min="9219" max="9219" width="31.42578125" style="36" customWidth="1"/>
    <col min="9220" max="9220" width="43.85546875" style="36" bestFit="1" customWidth="1"/>
    <col min="9221" max="9222" width="17" style="36" customWidth="1"/>
    <col min="9223" max="9223" width="9.140625" style="36"/>
    <col min="9224" max="9224" width="24.28515625" style="36" customWidth="1"/>
    <col min="9225" max="9227" width="15.28515625" style="36" customWidth="1"/>
    <col min="9228" max="9472" width="9.140625" style="36"/>
    <col min="9473" max="9473" width="3" style="36" customWidth="1"/>
    <col min="9474" max="9474" width="20.5703125" style="36" customWidth="1"/>
    <col min="9475" max="9475" width="31.42578125" style="36" customWidth="1"/>
    <col min="9476" max="9476" width="43.85546875" style="36" bestFit="1" customWidth="1"/>
    <col min="9477" max="9478" width="17" style="36" customWidth="1"/>
    <col min="9479" max="9479" width="9.140625" style="36"/>
    <col min="9480" max="9480" width="24.28515625" style="36" customWidth="1"/>
    <col min="9481" max="9483" width="15.28515625" style="36" customWidth="1"/>
    <col min="9484" max="9728" width="9.140625" style="36"/>
    <col min="9729" max="9729" width="3" style="36" customWidth="1"/>
    <col min="9730" max="9730" width="20.5703125" style="36" customWidth="1"/>
    <col min="9731" max="9731" width="31.42578125" style="36" customWidth="1"/>
    <col min="9732" max="9732" width="43.85546875" style="36" bestFit="1" customWidth="1"/>
    <col min="9733" max="9734" width="17" style="36" customWidth="1"/>
    <col min="9735" max="9735" width="9.140625" style="36"/>
    <col min="9736" max="9736" width="24.28515625" style="36" customWidth="1"/>
    <col min="9737" max="9739" width="15.28515625" style="36" customWidth="1"/>
    <col min="9740" max="9984" width="9.140625" style="36"/>
    <col min="9985" max="9985" width="3" style="36" customWidth="1"/>
    <col min="9986" max="9986" width="20.5703125" style="36" customWidth="1"/>
    <col min="9987" max="9987" width="31.42578125" style="36" customWidth="1"/>
    <col min="9988" max="9988" width="43.85546875" style="36" bestFit="1" customWidth="1"/>
    <col min="9989" max="9990" width="17" style="36" customWidth="1"/>
    <col min="9991" max="9991" width="9.140625" style="36"/>
    <col min="9992" max="9992" width="24.28515625" style="36" customWidth="1"/>
    <col min="9993" max="9995" width="15.28515625" style="36" customWidth="1"/>
    <col min="9996" max="10240" width="9.140625" style="36"/>
    <col min="10241" max="10241" width="3" style="36" customWidth="1"/>
    <col min="10242" max="10242" width="20.5703125" style="36" customWidth="1"/>
    <col min="10243" max="10243" width="31.42578125" style="36" customWidth="1"/>
    <col min="10244" max="10244" width="43.85546875" style="36" bestFit="1" customWidth="1"/>
    <col min="10245" max="10246" width="17" style="36" customWidth="1"/>
    <col min="10247" max="10247" width="9.140625" style="36"/>
    <col min="10248" max="10248" width="24.28515625" style="36" customWidth="1"/>
    <col min="10249" max="10251" width="15.28515625" style="36" customWidth="1"/>
    <col min="10252" max="10496" width="9.140625" style="36"/>
    <col min="10497" max="10497" width="3" style="36" customWidth="1"/>
    <col min="10498" max="10498" width="20.5703125" style="36" customWidth="1"/>
    <col min="10499" max="10499" width="31.42578125" style="36" customWidth="1"/>
    <col min="10500" max="10500" width="43.85546875" style="36" bestFit="1" customWidth="1"/>
    <col min="10501" max="10502" width="17" style="36" customWidth="1"/>
    <col min="10503" max="10503" width="9.140625" style="36"/>
    <col min="10504" max="10504" width="24.28515625" style="36" customWidth="1"/>
    <col min="10505" max="10507" width="15.28515625" style="36" customWidth="1"/>
    <col min="10508" max="10752" width="9.140625" style="36"/>
    <col min="10753" max="10753" width="3" style="36" customWidth="1"/>
    <col min="10754" max="10754" width="20.5703125" style="36" customWidth="1"/>
    <col min="10755" max="10755" width="31.42578125" style="36" customWidth="1"/>
    <col min="10756" max="10756" width="43.85546875" style="36" bestFit="1" customWidth="1"/>
    <col min="10757" max="10758" width="17" style="36" customWidth="1"/>
    <col min="10759" max="10759" width="9.140625" style="36"/>
    <col min="10760" max="10760" width="24.28515625" style="36" customWidth="1"/>
    <col min="10761" max="10763" width="15.28515625" style="36" customWidth="1"/>
    <col min="10764" max="11008" width="9.140625" style="36"/>
    <col min="11009" max="11009" width="3" style="36" customWidth="1"/>
    <col min="11010" max="11010" width="20.5703125" style="36" customWidth="1"/>
    <col min="11011" max="11011" width="31.42578125" style="36" customWidth="1"/>
    <col min="11012" max="11012" width="43.85546875" style="36" bestFit="1" customWidth="1"/>
    <col min="11013" max="11014" width="17" style="36" customWidth="1"/>
    <col min="11015" max="11015" width="9.140625" style="36"/>
    <col min="11016" max="11016" width="24.28515625" style="36" customWidth="1"/>
    <col min="11017" max="11019" width="15.28515625" style="36" customWidth="1"/>
    <col min="11020" max="11264" width="9.140625" style="36"/>
    <col min="11265" max="11265" width="3" style="36" customWidth="1"/>
    <col min="11266" max="11266" width="20.5703125" style="36" customWidth="1"/>
    <col min="11267" max="11267" width="31.42578125" style="36" customWidth="1"/>
    <col min="11268" max="11268" width="43.85546875" style="36" bestFit="1" customWidth="1"/>
    <col min="11269" max="11270" width="17" style="36" customWidth="1"/>
    <col min="11271" max="11271" width="9.140625" style="36"/>
    <col min="11272" max="11272" width="24.28515625" style="36" customWidth="1"/>
    <col min="11273" max="11275" width="15.28515625" style="36" customWidth="1"/>
    <col min="11276" max="11520" width="9.140625" style="36"/>
    <col min="11521" max="11521" width="3" style="36" customWidth="1"/>
    <col min="11522" max="11522" width="20.5703125" style="36" customWidth="1"/>
    <col min="11523" max="11523" width="31.42578125" style="36" customWidth="1"/>
    <col min="11524" max="11524" width="43.85546875" style="36" bestFit="1" customWidth="1"/>
    <col min="11525" max="11526" width="17" style="36" customWidth="1"/>
    <col min="11527" max="11527" width="9.140625" style="36"/>
    <col min="11528" max="11528" width="24.28515625" style="36" customWidth="1"/>
    <col min="11529" max="11531" width="15.28515625" style="36" customWidth="1"/>
    <col min="11532" max="11776" width="9.140625" style="36"/>
    <col min="11777" max="11777" width="3" style="36" customWidth="1"/>
    <col min="11778" max="11778" width="20.5703125" style="36" customWidth="1"/>
    <col min="11779" max="11779" width="31.42578125" style="36" customWidth="1"/>
    <col min="11780" max="11780" width="43.85546875" style="36" bestFit="1" customWidth="1"/>
    <col min="11781" max="11782" width="17" style="36" customWidth="1"/>
    <col min="11783" max="11783" width="9.140625" style="36"/>
    <col min="11784" max="11784" width="24.28515625" style="36" customWidth="1"/>
    <col min="11785" max="11787" width="15.28515625" style="36" customWidth="1"/>
    <col min="11788" max="12032" width="9.140625" style="36"/>
    <col min="12033" max="12033" width="3" style="36" customWidth="1"/>
    <col min="12034" max="12034" width="20.5703125" style="36" customWidth="1"/>
    <col min="12035" max="12035" width="31.42578125" style="36" customWidth="1"/>
    <col min="12036" max="12036" width="43.85546875" style="36" bestFit="1" customWidth="1"/>
    <col min="12037" max="12038" width="17" style="36" customWidth="1"/>
    <col min="12039" max="12039" width="9.140625" style="36"/>
    <col min="12040" max="12040" width="24.28515625" style="36" customWidth="1"/>
    <col min="12041" max="12043" width="15.28515625" style="36" customWidth="1"/>
    <col min="12044" max="12288" width="9.140625" style="36"/>
    <col min="12289" max="12289" width="3" style="36" customWidth="1"/>
    <col min="12290" max="12290" width="20.5703125" style="36" customWidth="1"/>
    <col min="12291" max="12291" width="31.42578125" style="36" customWidth="1"/>
    <col min="12292" max="12292" width="43.85546875" style="36" bestFit="1" customWidth="1"/>
    <col min="12293" max="12294" width="17" style="36" customWidth="1"/>
    <col min="12295" max="12295" width="9.140625" style="36"/>
    <col min="12296" max="12296" width="24.28515625" style="36" customWidth="1"/>
    <col min="12297" max="12299" width="15.28515625" style="36" customWidth="1"/>
    <col min="12300" max="12544" width="9.140625" style="36"/>
    <col min="12545" max="12545" width="3" style="36" customWidth="1"/>
    <col min="12546" max="12546" width="20.5703125" style="36" customWidth="1"/>
    <col min="12547" max="12547" width="31.42578125" style="36" customWidth="1"/>
    <col min="12548" max="12548" width="43.85546875" style="36" bestFit="1" customWidth="1"/>
    <col min="12549" max="12550" width="17" style="36" customWidth="1"/>
    <col min="12551" max="12551" width="9.140625" style="36"/>
    <col min="12552" max="12552" width="24.28515625" style="36" customWidth="1"/>
    <col min="12553" max="12555" width="15.28515625" style="36" customWidth="1"/>
    <col min="12556" max="12800" width="9.140625" style="36"/>
    <col min="12801" max="12801" width="3" style="36" customWidth="1"/>
    <col min="12802" max="12802" width="20.5703125" style="36" customWidth="1"/>
    <col min="12803" max="12803" width="31.42578125" style="36" customWidth="1"/>
    <col min="12804" max="12804" width="43.85546875" style="36" bestFit="1" customWidth="1"/>
    <col min="12805" max="12806" width="17" style="36" customWidth="1"/>
    <col min="12807" max="12807" width="9.140625" style="36"/>
    <col min="12808" max="12808" width="24.28515625" style="36" customWidth="1"/>
    <col min="12809" max="12811" width="15.28515625" style="36" customWidth="1"/>
    <col min="12812" max="13056" width="9.140625" style="36"/>
    <col min="13057" max="13057" width="3" style="36" customWidth="1"/>
    <col min="13058" max="13058" width="20.5703125" style="36" customWidth="1"/>
    <col min="13059" max="13059" width="31.42578125" style="36" customWidth="1"/>
    <col min="13060" max="13060" width="43.85546875" style="36" bestFit="1" customWidth="1"/>
    <col min="13061" max="13062" width="17" style="36" customWidth="1"/>
    <col min="13063" max="13063" width="9.140625" style="36"/>
    <col min="13064" max="13064" width="24.28515625" style="36" customWidth="1"/>
    <col min="13065" max="13067" width="15.28515625" style="36" customWidth="1"/>
    <col min="13068" max="13312" width="9.140625" style="36"/>
    <col min="13313" max="13313" width="3" style="36" customWidth="1"/>
    <col min="13314" max="13314" width="20.5703125" style="36" customWidth="1"/>
    <col min="13315" max="13315" width="31.42578125" style="36" customWidth="1"/>
    <col min="13316" max="13316" width="43.85546875" style="36" bestFit="1" customWidth="1"/>
    <col min="13317" max="13318" width="17" style="36" customWidth="1"/>
    <col min="13319" max="13319" width="9.140625" style="36"/>
    <col min="13320" max="13320" width="24.28515625" style="36" customWidth="1"/>
    <col min="13321" max="13323" width="15.28515625" style="36" customWidth="1"/>
    <col min="13324" max="13568" width="9.140625" style="36"/>
    <col min="13569" max="13569" width="3" style="36" customWidth="1"/>
    <col min="13570" max="13570" width="20.5703125" style="36" customWidth="1"/>
    <col min="13571" max="13571" width="31.42578125" style="36" customWidth="1"/>
    <col min="13572" max="13572" width="43.85546875" style="36" bestFit="1" customWidth="1"/>
    <col min="13573" max="13574" width="17" style="36" customWidth="1"/>
    <col min="13575" max="13575" width="9.140625" style="36"/>
    <col min="13576" max="13576" width="24.28515625" style="36" customWidth="1"/>
    <col min="13577" max="13579" width="15.28515625" style="36" customWidth="1"/>
    <col min="13580" max="13824" width="9.140625" style="36"/>
    <col min="13825" max="13825" width="3" style="36" customWidth="1"/>
    <col min="13826" max="13826" width="20.5703125" style="36" customWidth="1"/>
    <col min="13827" max="13827" width="31.42578125" style="36" customWidth="1"/>
    <col min="13828" max="13828" width="43.85546875" style="36" bestFit="1" customWidth="1"/>
    <col min="13829" max="13830" width="17" style="36" customWidth="1"/>
    <col min="13831" max="13831" width="9.140625" style="36"/>
    <col min="13832" max="13832" width="24.28515625" style="36" customWidth="1"/>
    <col min="13833" max="13835" width="15.28515625" style="36" customWidth="1"/>
    <col min="13836" max="14080" width="9.140625" style="36"/>
    <col min="14081" max="14081" width="3" style="36" customWidth="1"/>
    <col min="14082" max="14082" width="20.5703125" style="36" customWidth="1"/>
    <col min="14083" max="14083" width="31.42578125" style="36" customWidth="1"/>
    <col min="14084" max="14084" width="43.85546875" style="36" bestFit="1" customWidth="1"/>
    <col min="14085" max="14086" width="17" style="36" customWidth="1"/>
    <col min="14087" max="14087" width="9.140625" style="36"/>
    <col min="14088" max="14088" width="24.28515625" style="36" customWidth="1"/>
    <col min="14089" max="14091" width="15.28515625" style="36" customWidth="1"/>
    <col min="14092" max="14336" width="9.140625" style="36"/>
    <col min="14337" max="14337" width="3" style="36" customWidth="1"/>
    <col min="14338" max="14338" width="20.5703125" style="36" customWidth="1"/>
    <col min="14339" max="14339" width="31.42578125" style="36" customWidth="1"/>
    <col min="14340" max="14340" width="43.85546875" style="36" bestFit="1" customWidth="1"/>
    <col min="14341" max="14342" width="17" style="36" customWidth="1"/>
    <col min="14343" max="14343" width="9.140625" style="36"/>
    <col min="14344" max="14344" width="24.28515625" style="36" customWidth="1"/>
    <col min="14345" max="14347" width="15.28515625" style="36" customWidth="1"/>
    <col min="14348" max="14592" width="9.140625" style="36"/>
    <col min="14593" max="14593" width="3" style="36" customWidth="1"/>
    <col min="14594" max="14594" width="20.5703125" style="36" customWidth="1"/>
    <col min="14595" max="14595" width="31.42578125" style="36" customWidth="1"/>
    <col min="14596" max="14596" width="43.85546875" style="36" bestFit="1" customWidth="1"/>
    <col min="14597" max="14598" width="17" style="36" customWidth="1"/>
    <col min="14599" max="14599" width="9.140625" style="36"/>
    <col min="14600" max="14600" width="24.28515625" style="36" customWidth="1"/>
    <col min="14601" max="14603" width="15.28515625" style="36" customWidth="1"/>
    <col min="14604" max="14848" width="9.140625" style="36"/>
    <col min="14849" max="14849" width="3" style="36" customWidth="1"/>
    <col min="14850" max="14850" width="20.5703125" style="36" customWidth="1"/>
    <col min="14851" max="14851" width="31.42578125" style="36" customWidth="1"/>
    <col min="14852" max="14852" width="43.85546875" style="36" bestFit="1" customWidth="1"/>
    <col min="14853" max="14854" width="17" style="36" customWidth="1"/>
    <col min="14855" max="14855" width="9.140625" style="36"/>
    <col min="14856" max="14856" width="24.28515625" style="36" customWidth="1"/>
    <col min="14857" max="14859" width="15.28515625" style="36" customWidth="1"/>
    <col min="14860" max="15104" width="9.140625" style="36"/>
    <col min="15105" max="15105" width="3" style="36" customWidth="1"/>
    <col min="15106" max="15106" width="20.5703125" style="36" customWidth="1"/>
    <col min="15107" max="15107" width="31.42578125" style="36" customWidth="1"/>
    <col min="15108" max="15108" width="43.85546875" style="36" bestFit="1" customWidth="1"/>
    <col min="15109" max="15110" width="17" style="36" customWidth="1"/>
    <col min="15111" max="15111" width="9.140625" style="36"/>
    <col min="15112" max="15112" width="24.28515625" style="36" customWidth="1"/>
    <col min="15113" max="15115" width="15.28515625" style="36" customWidth="1"/>
    <col min="15116" max="15360" width="9.140625" style="36"/>
    <col min="15361" max="15361" width="3" style="36" customWidth="1"/>
    <col min="15362" max="15362" width="20.5703125" style="36" customWidth="1"/>
    <col min="15363" max="15363" width="31.42578125" style="36" customWidth="1"/>
    <col min="15364" max="15364" width="43.85546875" style="36" bestFit="1" customWidth="1"/>
    <col min="15365" max="15366" width="17" style="36" customWidth="1"/>
    <col min="15367" max="15367" width="9.140625" style="36"/>
    <col min="15368" max="15368" width="24.28515625" style="36" customWidth="1"/>
    <col min="15369" max="15371" width="15.28515625" style="36" customWidth="1"/>
    <col min="15372" max="15616" width="9.140625" style="36"/>
    <col min="15617" max="15617" width="3" style="36" customWidth="1"/>
    <col min="15618" max="15618" width="20.5703125" style="36" customWidth="1"/>
    <col min="15619" max="15619" width="31.42578125" style="36" customWidth="1"/>
    <col min="15620" max="15620" width="43.85546875" style="36" bestFit="1" customWidth="1"/>
    <col min="15621" max="15622" width="17" style="36" customWidth="1"/>
    <col min="15623" max="15623" width="9.140625" style="36"/>
    <col min="15624" max="15624" width="24.28515625" style="36" customWidth="1"/>
    <col min="15625" max="15627" width="15.28515625" style="36" customWidth="1"/>
    <col min="15628" max="15872" width="9.140625" style="36"/>
    <col min="15873" max="15873" width="3" style="36" customWidth="1"/>
    <col min="15874" max="15874" width="20.5703125" style="36" customWidth="1"/>
    <col min="15875" max="15875" width="31.42578125" style="36" customWidth="1"/>
    <col min="15876" max="15876" width="43.85546875" style="36" bestFit="1" customWidth="1"/>
    <col min="15877" max="15878" width="17" style="36" customWidth="1"/>
    <col min="15879" max="15879" width="9.140625" style="36"/>
    <col min="15880" max="15880" width="24.28515625" style="36" customWidth="1"/>
    <col min="15881" max="15883" width="15.28515625" style="36" customWidth="1"/>
    <col min="15884" max="16128" width="9.140625" style="36"/>
    <col min="16129" max="16129" width="3" style="36" customWidth="1"/>
    <col min="16130" max="16130" width="20.5703125" style="36" customWidth="1"/>
    <col min="16131" max="16131" width="31.42578125" style="36" customWidth="1"/>
    <col min="16132" max="16132" width="43.85546875" style="36" bestFit="1" customWidth="1"/>
    <col min="16133" max="16134" width="17" style="36" customWidth="1"/>
    <col min="16135" max="16135" width="9.140625" style="36"/>
    <col min="16136" max="16136" width="24.28515625" style="36" customWidth="1"/>
    <col min="16137" max="16139" width="15.28515625" style="36" customWidth="1"/>
    <col min="16140" max="16384" width="9.140625" style="36"/>
  </cols>
  <sheetData>
    <row r="1" spans="2:7">
      <c r="B1" s="306" t="s">
        <v>177</v>
      </c>
      <c r="C1" s="306"/>
      <c r="D1" s="306"/>
      <c r="E1" s="306"/>
      <c r="F1" s="306"/>
      <c r="G1" s="306"/>
    </row>
    <row r="2" spans="2:7">
      <c r="B2" s="158"/>
      <c r="C2" s="158"/>
      <c r="D2" s="158"/>
      <c r="E2" s="158"/>
      <c r="F2" s="158"/>
    </row>
    <row r="3" spans="2:7">
      <c r="B3" s="306" t="s">
        <v>178</v>
      </c>
      <c r="C3" s="306"/>
      <c r="D3" s="306"/>
      <c r="E3" s="306"/>
      <c r="F3" s="306"/>
      <c r="G3" s="306"/>
    </row>
    <row r="4" spans="2:7" ht="22.5" customHeight="1">
      <c r="B4" s="37" t="s">
        <v>179</v>
      </c>
      <c r="C4" s="37" t="s">
        <v>180</v>
      </c>
      <c r="D4" s="37" t="s">
        <v>6</v>
      </c>
      <c r="E4" s="37" t="s">
        <v>181</v>
      </c>
      <c r="F4" s="37" t="s">
        <v>165</v>
      </c>
      <c r="G4" s="37" t="s">
        <v>182</v>
      </c>
    </row>
    <row r="5" spans="2:7" ht="15" customHeight="1">
      <c r="B5" s="307" t="s">
        <v>183</v>
      </c>
      <c r="C5" s="307" t="s">
        <v>184</v>
      </c>
      <c r="D5" s="38" t="s">
        <v>185</v>
      </c>
      <c r="E5" s="1">
        <v>2</v>
      </c>
      <c r="F5" s="39">
        <v>66.63</v>
      </c>
      <c r="G5" s="39">
        <f t="shared" ref="G5:G14" si="0">E5*F5</f>
        <v>133.26</v>
      </c>
    </row>
    <row r="6" spans="2:7">
      <c r="B6" s="308"/>
      <c r="C6" s="308"/>
      <c r="D6" s="40" t="s">
        <v>186</v>
      </c>
      <c r="E6" s="41">
        <v>2</v>
      </c>
      <c r="F6" s="42">
        <v>45.93</v>
      </c>
      <c r="G6" s="42">
        <f t="shared" si="0"/>
        <v>91.86</v>
      </c>
    </row>
    <row r="7" spans="2:7">
      <c r="B7" s="308"/>
      <c r="C7" s="308"/>
      <c r="D7" s="40" t="s">
        <v>187</v>
      </c>
      <c r="E7" s="41">
        <v>2</v>
      </c>
      <c r="F7" s="42">
        <v>66.099999999999994</v>
      </c>
      <c r="G7" s="42">
        <f t="shared" si="0"/>
        <v>132.19999999999999</v>
      </c>
    </row>
    <row r="8" spans="2:7">
      <c r="B8" s="308"/>
      <c r="C8" s="308"/>
      <c r="D8" s="40" t="s">
        <v>188</v>
      </c>
      <c r="E8" s="41">
        <v>2</v>
      </c>
      <c r="F8" s="42">
        <v>36.9</v>
      </c>
      <c r="G8" s="42">
        <f t="shared" si="0"/>
        <v>73.8</v>
      </c>
    </row>
    <row r="9" spans="2:7">
      <c r="B9" s="308"/>
      <c r="C9" s="308"/>
      <c r="D9" s="40" t="s">
        <v>189</v>
      </c>
      <c r="E9" s="41">
        <v>2</v>
      </c>
      <c r="F9" s="42">
        <v>119.96</v>
      </c>
      <c r="G9" s="42">
        <f t="shared" si="0"/>
        <v>239.92</v>
      </c>
    </row>
    <row r="10" spans="2:7">
      <c r="B10" s="308"/>
      <c r="C10" s="308" t="s">
        <v>190</v>
      </c>
      <c r="D10" s="40" t="s">
        <v>185</v>
      </c>
      <c r="E10" s="41">
        <v>2</v>
      </c>
      <c r="F10" s="42">
        <v>49.9</v>
      </c>
      <c r="G10" s="42">
        <f t="shared" si="0"/>
        <v>99.8</v>
      </c>
    </row>
    <row r="11" spans="2:7">
      <c r="B11" s="308"/>
      <c r="C11" s="308"/>
      <c r="D11" s="40" t="s">
        <v>186</v>
      </c>
      <c r="E11" s="41">
        <v>2</v>
      </c>
      <c r="F11" s="42">
        <v>46.47</v>
      </c>
      <c r="G11" s="42">
        <f t="shared" si="0"/>
        <v>92.94</v>
      </c>
    </row>
    <row r="12" spans="2:7">
      <c r="B12" s="308"/>
      <c r="C12" s="308"/>
      <c r="D12" s="40" t="s">
        <v>187</v>
      </c>
      <c r="E12" s="41">
        <v>2</v>
      </c>
      <c r="F12" s="42">
        <v>53.49</v>
      </c>
      <c r="G12" s="42">
        <f t="shared" si="0"/>
        <v>106.98</v>
      </c>
    </row>
    <row r="13" spans="2:7">
      <c r="B13" s="308"/>
      <c r="C13" s="308"/>
      <c r="D13" s="40" t="s">
        <v>189</v>
      </c>
      <c r="E13" s="41">
        <v>2</v>
      </c>
      <c r="F13" s="42">
        <v>129.93</v>
      </c>
      <c r="G13" s="42">
        <f t="shared" si="0"/>
        <v>259.86</v>
      </c>
    </row>
    <row r="14" spans="2:7">
      <c r="B14" s="308"/>
      <c r="C14" s="308"/>
      <c r="D14" s="40" t="s">
        <v>191</v>
      </c>
      <c r="E14" s="41">
        <v>1</v>
      </c>
      <c r="F14" s="42">
        <v>25.28</v>
      </c>
      <c r="G14" s="42">
        <f t="shared" si="0"/>
        <v>25.28</v>
      </c>
    </row>
    <row r="15" spans="2:7">
      <c r="B15" s="305" t="s">
        <v>192</v>
      </c>
      <c r="C15" s="305"/>
      <c r="D15" s="305"/>
      <c r="E15" s="305"/>
      <c r="F15" s="305"/>
      <c r="G15" s="43">
        <f>SUM(G5:G14)/2</f>
        <v>627.94999999999993</v>
      </c>
    </row>
    <row r="16" spans="2:7">
      <c r="B16" s="305" t="s">
        <v>193</v>
      </c>
      <c r="C16" s="305"/>
      <c r="D16" s="305"/>
      <c r="E16" s="305"/>
      <c r="F16" s="305"/>
      <c r="G16" s="43">
        <f>G15/6</f>
        <v>104.65833333333332</v>
      </c>
    </row>
    <row r="18" spans="2:7">
      <c r="B18" s="306" t="s">
        <v>194</v>
      </c>
      <c r="C18" s="306"/>
      <c r="D18" s="306"/>
      <c r="E18" s="306"/>
      <c r="F18" s="306"/>
      <c r="G18" s="306"/>
    </row>
    <row r="19" spans="2:7">
      <c r="B19" s="158"/>
      <c r="C19" s="158"/>
      <c r="D19" s="158"/>
      <c r="E19" s="158"/>
      <c r="F19" s="158"/>
    </row>
    <row r="20" spans="2:7">
      <c r="B20" s="309" t="s">
        <v>179</v>
      </c>
      <c r="C20" s="309" t="s">
        <v>6</v>
      </c>
      <c r="D20" s="160" t="s">
        <v>195</v>
      </c>
      <c r="E20" s="160" t="s">
        <v>165</v>
      </c>
      <c r="F20" s="44" t="s">
        <v>196</v>
      </c>
      <c r="G20" s="160" t="s">
        <v>197</v>
      </c>
    </row>
    <row r="21" spans="2:7">
      <c r="B21" s="309"/>
      <c r="C21" s="309"/>
      <c r="D21" s="160" t="s">
        <v>15</v>
      </c>
      <c r="E21" s="160" t="s">
        <v>16</v>
      </c>
      <c r="F21" s="44" t="s">
        <v>75</v>
      </c>
      <c r="G21" s="160" t="s">
        <v>198</v>
      </c>
    </row>
    <row r="22" spans="2:7" ht="24">
      <c r="B22" s="159" t="s">
        <v>199</v>
      </c>
      <c r="C22" s="1" t="s">
        <v>200</v>
      </c>
      <c r="D22" s="1">
        <v>5</v>
      </c>
      <c r="E22" s="115">
        <v>1279.3399999999999</v>
      </c>
      <c r="F22" s="45">
        <v>12</v>
      </c>
      <c r="G22" s="39">
        <f>D22*E22/F22</f>
        <v>533.05833333333328</v>
      </c>
    </row>
    <row r="23" spans="2:7">
      <c r="B23" s="305" t="s">
        <v>201</v>
      </c>
      <c r="C23" s="305"/>
      <c r="D23" s="305"/>
      <c r="E23" s="305"/>
      <c r="F23" s="305"/>
      <c r="G23" s="139">
        <f>G22</f>
        <v>533.05833333333328</v>
      </c>
    </row>
    <row r="24" spans="2:7">
      <c r="B24" s="305" t="s">
        <v>202</v>
      </c>
      <c r="C24" s="305"/>
      <c r="D24" s="305"/>
      <c r="E24" s="305"/>
      <c r="F24" s="305"/>
      <c r="G24" s="46">
        <f>SUM('Custo Final'!L3:L10,'Custo Final'!L12)+'Custo Final'!L11/2</f>
        <v>82</v>
      </c>
    </row>
    <row r="25" spans="2:7">
      <c r="B25" s="305" t="s">
        <v>203</v>
      </c>
      <c r="C25" s="305"/>
      <c r="D25" s="305"/>
      <c r="E25" s="305"/>
      <c r="F25" s="305"/>
      <c r="G25" s="139">
        <f>G23/G24</f>
        <v>6.5007113821138205</v>
      </c>
    </row>
  </sheetData>
  <mergeCells count="13">
    <mergeCell ref="B25:F25"/>
    <mergeCell ref="B18:G18"/>
    <mergeCell ref="B20:B21"/>
    <mergeCell ref="C20:C21"/>
    <mergeCell ref="B23:F23"/>
    <mergeCell ref="B24:F24"/>
    <mergeCell ref="B15:F15"/>
    <mergeCell ref="B16:F16"/>
    <mergeCell ref="B1:G1"/>
    <mergeCell ref="B3:G3"/>
    <mergeCell ref="B5:B14"/>
    <mergeCell ref="C5:C9"/>
    <mergeCell ref="C10:C14"/>
  </mergeCells>
  <printOptions horizontalCentered="1"/>
  <pageMargins left="0.51181102362204722" right="0.51181102362204722" top="1.5748031496062993" bottom="1.1811023622047245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Custo Final</vt:lpstr>
      <vt:lpstr>Custos Empregados</vt:lpstr>
      <vt:lpstr>Salários e Benefícios</vt:lpstr>
      <vt:lpstr>Memória de Cálculo - Encargos</vt:lpstr>
      <vt:lpstr>Memória de Cálculo - EPIs</vt:lpstr>
      <vt:lpstr>Memória Calc-Uniform. + Relógio</vt:lpstr>
      <vt:lpstr>'Memória Calc-Uniform. + Relógio'!Area_de_impressao</vt:lpstr>
      <vt:lpstr>'Memória de Cálculo - Encargos'!Area_de_impressao</vt:lpstr>
      <vt:lpstr>'Memória de Cálculo - EPIs'!Area_de_impressao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Vitor Veneza Quimas Macedo</cp:lastModifiedBy>
  <cp:revision/>
  <dcterms:created xsi:type="dcterms:W3CDTF">2018-01-23T19:35:16Z</dcterms:created>
  <dcterms:modified xsi:type="dcterms:W3CDTF">2020-07-01T16:10:00Z</dcterms:modified>
  <cp:category/>
  <cp:contentStatus/>
</cp:coreProperties>
</file>